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EDI\МЕЕР\Цени 2022\"/>
    </mc:Choice>
  </mc:AlternateContent>
  <xr:revisionPtr revIDLastSave="0" documentId="8_{CFC9586C-CF35-49BC-921D-C8D696599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1" i="1" l="1"/>
  <c r="P19" i="1"/>
  <c r="M15" i="1"/>
  <c r="N15" i="1"/>
  <c r="O15" i="1"/>
  <c r="O27" i="1" l="1"/>
  <c r="N27" i="1"/>
  <c r="M27" i="1"/>
  <c r="L27" i="1"/>
  <c r="K27" i="1"/>
  <c r="J27" i="1"/>
  <c r="G27" i="1"/>
  <c r="I27" i="1"/>
  <c r="H27" i="1"/>
  <c r="F27" i="1"/>
  <c r="E27" i="1"/>
  <c r="P24" i="1"/>
  <c r="O19" i="1"/>
  <c r="N19" i="1"/>
  <c r="M19" i="1"/>
  <c r="L19" i="1"/>
  <c r="K19" i="1"/>
  <c r="J19" i="1"/>
  <c r="O16" i="1"/>
  <c r="O17" i="1" s="1"/>
  <c r="N16" i="1"/>
  <c r="N17" i="1" s="1"/>
  <c r="M16" i="1"/>
  <c r="M17" i="1" s="1"/>
  <c r="L16" i="1"/>
  <c r="L17" i="1" s="1"/>
  <c r="H16" i="1"/>
  <c r="H17" i="1" s="1"/>
  <c r="D16" i="1"/>
  <c r="D17" i="1" s="1"/>
  <c r="L15" i="1"/>
  <c r="K15" i="1"/>
  <c r="K16" i="1" s="1"/>
  <c r="K17" i="1" s="1"/>
  <c r="J15" i="1"/>
  <c r="J16" i="1" s="1"/>
  <c r="J17" i="1" s="1"/>
  <c r="I15" i="1"/>
  <c r="H15" i="1"/>
  <c r="G15" i="1"/>
  <c r="F15" i="1"/>
  <c r="E15" i="1"/>
  <c r="D15" i="1"/>
  <c r="I13" i="1"/>
  <c r="I16" i="1" s="1"/>
  <c r="I17" i="1" s="1"/>
  <c r="H13" i="1"/>
  <c r="G13" i="1"/>
  <c r="G16" i="1" s="1"/>
  <c r="G17" i="1" s="1"/>
  <c r="F13" i="1"/>
  <c r="F16" i="1" s="1"/>
  <c r="F17" i="1" s="1"/>
  <c r="E13" i="1"/>
  <c r="E16" i="1" s="1"/>
  <c r="E17" i="1" s="1"/>
  <c r="D13" i="1"/>
  <c r="O12" i="1"/>
  <c r="N12" i="1"/>
  <c r="M12" i="1"/>
  <c r="L12" i="1"/>
  <c r="L14" i="1" s="1"/>
  <c r="K12" i="1"/>
  <c r="K14" i="1" s="1"/>
  <c r="J12" i="1"/>
  <c r="I12" i="1"/>
  <c r="H12" i="1"/>
  <c r="G12" i="1"/>
  <c r="G14" i="1" s="1"/>
  <c r="F12" i="1"/>
  <c r="E12" i="1"/>
  <c r="D12" i="1"/>
  <c r="P11" i="1"/>
  <c r="P15" i="1" s="1"/>
  <c r="F14" i="1"/>
  <c r="D14" i="1"/>
  <c r="N14" i="1" l="1"/>
  <c r="M14" i="1"/>
  <c r="H14" i="1"/>
  <c r="E14" i="1"/>
  <c r="I14" i="1"/>
  <c r="J14" i="1"/>
  <c r="O14" i="1"/>
  <c r="P25" i="1"/>
  <c r="P26" i="1"/>
  <c r="P17" i="1"/>
  <c r="P12" i="1"/>
  <c r="I19" i="1"/>
  <c r="D27" i="1"/>
  <c r="P13" i="1"/>
  <c r="P27" i="1" l="1"/>
  <c r="P30" i="1" s="1"/>
  <c r="P14" i="1"/>
</calcChain>
</file>

<file path=xl/sharedStrings.xml><?xml version="1.0" encoding="utf-8"?>
<sst xmlns="http://schemas.openxmlformats.org/spreadsheetml/2006/main" count="69" uniqueCount="46">
  <si>
    <t>Приложение 5</t>
  </si>
  <si>
    <t>Корекции на НП за отчетния период съгласно чл. 24, ал. 5, т. 2 от НРЦЕЕ</t>
  </si>
  <si>
    <t>Дружество:</t>
  </si>
  <si>
    <t>1. Корекция по природен газ</t>
  </si>
  <si>
    <t>2021/2022</t>
  </si>
  <si>
    <r>
      <rPr>
        <b/>
        <sz val="14"/>
        <rFont val="Arial"/>
        <family val="2"/>
        <charset val="204"/>
      </rPr>
      <t>Нt=Qg*(Цпг-ЦI)t+Qe*(Цпе-ЦII)t±Pt-1</t>
    </r>
    <r>
      <rPr>
        <sz val="10"/>
        <rFont val="Arial"/>
        <family val="2"/>
        <charset val="204"/>
      </rPr>
      <t>,където: Ht еразмерът на разликата от предходния регулаторен/ценови период,лв.; Qg-отчетеното количество природен газ за ценовия период, MWh; Цпг - индивидуалната прогнозна цена на природния газ за регулаторния/ценовия период, изчислена по реда на чл.24,ал.5,т.2,лв./MWh; ЦI - отчетената индивидуална цена на природния газ за регулаторния/ценовия период, изчислена въз основа на отчетените помесечни количества потребен природен газ и постигнатата помесечна цена, като среднопретеглена стойност, към която се добавят отчетените цени за достъп и пренос през газопреносната, съответно газоразпределителната мрежа, лв./MWh; Qe-отчетеното количество въглеродни емисии за регулаторния период, тон; Цпе - прогнозната цена на въглеродните емисии, лв./тон; ЦII - отчетената средна цена на въглеродните емисии на проведените първични търгове на Европейската енергийна борса за регулаторния период, лв./тон; Р - разликата между прогнозните и отчетeните разходи, формиращи разходите за основно гориво - природен газ, и разходите за квоти за въглеродни емисии, в резултат на прогнозни количества и разходи, използвани за определяне на Ht-1, лв.; t - ценовият период.</t>
    </r>
  </si>
  <si>
    <t>Отчетни данни</t>
  </si>
  <si>
    <t>Прогнозни данни</t>
  </si>
  <si>
    <t>месец</t>
  </si>
  <si>
    <t>07</t>
  </si>
  <si>
    <t>08</t>
  </si>
  <si>
    <t>09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</si>
  <si>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</si>
  <si>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</si>
  <si>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</si>
  <si>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</si>
  <si>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</si>
  <si>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</si>
  <si>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</si>
  <si>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</si>
  <si>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</si>
  <si>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Общо:</t>
  </si>
  <si>
    <t>Количество, Qg</t>
  </si>
  <si>
    <t>MWh</t>
  </si>
  <si>
    <t>Цена на пр. газ , Цпг</t>
  </si>
  <si>
    <t>BGN/MWh</t>
  </si>
  <si>
    <t>Цена на пр. газ , Цl</t>
  </si>
  <si>
    <t>надвзет/недовзет приход от природен газ</t>
  </si>
  <si>
    <t>хил.лв</t>
  </si>
  <si>
    <t xml:space="preserve">Цена на пр. газ , Цбг </t>
  </si>
  <si>
    <t>Цена на пр. газ , Цпl</t>
  </si>
  <si>
    <t>2. Корекция по въглеродни емисии</t>
  </si>
  <si>
    <t>Количество, Qе</t>
  </si>
  <si>
    <t>тона</t>
  </si>
  <si>
    <t>Прогнозна цена на въглеродни емисии , Цпе</t>
  </si>
  <si>
    <t>евро/тон</t>
  </si>
  <si>
    <t>Отчетена цена на въглеродни емисии , Цll</t>
  </si>
  <si>
    <t>надвзет/недовзет приход от въглеродни емисии</t>
  </si>
  <si>
    <t>Нt=Qg*(Цпг-ЦI)t+Qe*(Цпе-ЦII)t±Pt-1</t>
  </si>
  <si>
    <t>=</t>
  </si>
  <si>
    <t>* - цената на пр. газ е без ДДС</t>
  </si>
  <si>
    <t xml:space="preserve">Главен счетоводител: </t>
  </si>
  <si>
    <t>Изпълнителен директор:</t>
  </si>
  <si>
    <t>/……………/</t>
  </si>
  <si>
    <t>подпис и печат</t>
  </si>
  <si>
    <t>Компенсации по РМС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</si>
</sst>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sz val="9"/>
      <color rgb="FFFF0000"/>
      <name val="Times New Roman"/>
      <family val="1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0070C0"/>
      <name val="Times New Roman"/>
      <family val="1"/>
    </font>
    <font>
      <sz val="10"/>
      <color rgb="FF0070C0"/>
      <name val="Arial"/>
      <family val="2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rgb="FF00B050"/>
      <name val="Calibri"/>
      <family val="2"/>
      <charset val="204"/>
      <scheme val="minor"/>
    </font>
    <font>
      <b/>
      <sz val="9"/>
      <color rgb="FF00B050"/>
      <name val="Times New Roman"/>
      <family val="1"/>
    </font>
    <font>
      <b/>
      <sz val="10"/>
      <color rgb="FF00B05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9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8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0" xfId="2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8" fillId="0" borderId="10" xfId="0" quotePrefix="1" applyFont="1" applyBorder="1" applyAlignment="1">
      <alignment horizontal="center"/>
    </xf>
    <xf numFmtId="0" fontId="8" fillId="2" borderId="10" xfId="0" quotePrefix="1" applyFont="1" applyFill="1" applyBorder="1" applyAlignment="1">
      <alignment horizontal="center"/>
    </xf>
    <xf numFmtId="0" fontId="8" fillId="2" borderId="11" xfId="0" quotePrefix="1" applyFont="1" applyFill="1" applyBorder="1" applyAlignment="1">
      <alignment horizontal="center"/>
    </xf>
    <xf numFmtId="0" fontId="8" fillId="2" borderId="12" xfId="0" quotePrefix="1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3" fontId="13" fillId="3" borderId="2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2" fontId="16" fillId="3" borderId="2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3" fillId="3" borderId="2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4" fontId="13" fillId="4" borderId="2" xfId="0" applyNumberFormat="1" applyFont="1" applyFill="1" applyBorder="1" applyAlignment="1">
      <alignment horizontal="center" vertical="center"/>
    </xf>
    <xf numFmtId="4" fontId="18" fillId="5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4" fontId="22" fillId="4" borderId="2" xfId="0" applyNumberFormat="1" applyFont="1" applyFill="1" applyBorder="1" applyAlignment="1">
      <alignment vertical="center"/>
    </xf>
    <xf numFmtId="4" fontId="10" fillId="5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23" fillId="0" borderId="0" xfId="0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6" fillId="5" borderId="2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/>
    </xf>
    <xf numFmtId="0" fontId="24" fillId="4" borderId="0" xfId="2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3" fontId="10" fillId="4" borderId="0" xfId="0" applyNumberFormat="1" applyFont="1" applyFill="1" applyAlignment="1">
      <alignment vertical="center"/>
    </xf>
    <xf numFmtId="0" fontId="25" fillId="4" borderId="0" xfId="0" applyFont="1" applyFill="1" applyAlignment="1">
      <alignment horizontal="center" vertical="center" wrapText="1"/>
    </xf>
    <xf numFmtId="4" fontId="16" fillId="3" borderId="13" xfId="1" applyNumberFormat="1" applyFont="1" applyFill="1" applyBorder="1" applyAlignment="1">
      <alignment horizontal="center" vertical="center"/>
    </xf>
    <xf numFmtId="4" fontId="16" fillId="3" borderId="13" xfId="0" applyNumberFormat="1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21" fillId="3" borderId="2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27" fillId="0" borderId="14" xfId="0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justify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8" fillId="0" borderId="2" xfId="0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right"/>
    </xf>
    <xf numFmtId="0" fontId="0" fillId="0" borderId="2" xfId="0" applyBorder="1"/>
    <xf numFmtId="4" fontId="0" fillId="0" borderId="2" xfId="0" applyNumberFormat="1" applyBorder="1"/>
    <xf numFmtId="4" fontId="5" fillId="6" borderId="2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vertical="center"/>
    </xf>
  </cellXfs>
  <cellStyles count="3">
    <cellStyle name="Normal 2" xfId="2" xr:uid="{388E0375-17FE-4ED9-A3BF-4F310673FF8E}"/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45;&#1060;-&#1058;&#1060;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tinka.nikolova\Desktop\&#1088;&#1072;&#1079;&#1093;&#1086;&#1076;&#1080;%20&#1082;&#1077;&#1074;&#10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tinka.nikolova\Desktop\&#1075;&#1072;&#1079;%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ОБЩ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6">
          <cell r="X6">
            <v>112.7</v>
          </cell>
        </row>
        <row r="28">
          <cell r="X28">
            <v>552.90121336400568</v>
          </cell>
        </row>
      </sheetData>
      <sheetData sheetId="7" refreshError="1">
        <row r="6">
          <cell r="X6">
            <v>744.7</v>
          </cell>
        </row>
        <row r="28">
          <cell r="Y28">
            <v>635.39710071987713</v>
          </cell>
        </row>
      </sheetData>
      <sheetData sheetId="8" refreshError="1">
        <row r="6">
          <cell r="X6">
            <v>145.80000000000001</v>
          </cell>
        </row>
        <row r="28">
          <cell r="X28">
            <v>764.10256410256409</v>
          </cell>
        </row>
      </sheetData>
      <sheetData sheetId="9" refreshError="1">
        <row r="6">
          <cell r="AK6">
            <v>33700</v>
          </cell>
        </row>
        <row r="28">
          <cell r="X28">
            <v>1020.2003613072754</v>
          </cell>
        </row>
      </sheetData>
      <sheetData sheetId="10" refreshError="1">
        <row r="6">
          <cell r="X6">
            <v>154.5</v>
          </cell>
        </row>
        <row r="28">
          <cell r="X28">
            <v>1009.6665580536547</v>
          </cell>
        </row>
      </sheetData>
      <sheetData sheetId="11" refreshError="1">
        <row r="6">
          <cell r="X6">
            <v>34.4</v>
          </cell>
        </row>
        <row r="28">
          <cell r="X28">
            <v>1127.6826949198589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Цена Газ"/>
    </sheetNames>
    <sheetDataSet>
      <sheetData sheetId="0"/>
      <sheetData sheetId="1">
        <row r="7">
          <cell r="H7">
            <v>59.839999999999996</v>
          </cell>
        </row>
        <row r="8">
          <cell r="H8">
            <v>50.01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2">
          <cell r="B2">
            <v>49.94</v>
          </cell>
        </row>
        <row r="3">
          <cell r="B3">
            <v>57.6</v>
          </cell>
        </row>
        <row r="4">
          <cell r="B4">
            <v>69.400000000000006</v>
          </cell>
        </row>
        <row r="5">
          <cell r="B5">
            <v>94.54</v>
          </cell>
        </row>
        <row r="6">
          <cell r="B6">
            <v>93.19</v>
          </cell>
        </row>
        <row r="7">
          <cell r="B7">
            <v>102.33</v>
          </cell>
        </row>
        <row r="8">
          <cell r="B8">
            <v>133.41</v>
          </cell>
        </row>
        <row r="9">
          <cell r="B9">
            <v>109.88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35"/>
  <sheetViews>
    <sheetView tabSelected="1" topLeftCell="A4" workbookViewId="0">
      <selection activeCell="P24" sqref="P24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2.14062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3.85546875" customWidth="1"/>
    <col min="17" max="17" width="3.42578125" customWidth="1"/>
    <col min="18" max="18" width="2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75" t="s">
        <v>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U2" s="1"/>
      <c r="V2" s="2"/>
    </row>
    <row r="3" spans="2:28" ht="18" x14ac:dyDescent="0.25">
      <c r="E3" s="3" t="s">
        <v>2</v>
      </c>
    </row>
    <row r="5" spans="2:28" ht="15.75" x14ac:dyDescent="0.25">
      <c r="B5" s="4" t="s">
        <v>3</v>
      </c>
      <c r="E5" s="5"/>
      <c r="P5" s="6"/>
    </row>
    <row r="6" spans="2:28" x14ac:dyDescent="0.25">
      <c r="D6" s="7"/>
    </row>
    <row r="7" spans="2:28" x14ac:dyDescent="0.25">
      <c r="D7" s="7"/>
    </row>
    <row r="8" spans="2:28" ht="15.75" thickBot="1" x14ac:dyDescent="0.3">
      <c r="D8" s="69" t="s">
        <v>4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70"/>
      <c r="S8" s="65" t="s">
        <v>5</v>
      </c>
      <c r="T8" s="65"/>
      <c r="U8" s="65"/>
      <c r="V8" s="65"/>
      <c r="W8" s="65"/>
      <c r="X8" s="65"/>
      <c r="Y8" s="65"/>
      <c r="Z8" s="65"/>
      <c r="AA8" s="65"/>
      <c r="AB8" s="65"/>
    </row>
    <row r="9" spans="2:28" ht="15.75" thickBot="1" x14ac:dyDescent="0.3">
      <c r="D9" s="66" t="s">
        <v>6</v>
      </c>
      <c r="E9" s="67"/>
      <c r="F9" s="67"/>
      <c r="G9" s="67"/>
      <c r="H9" s="67"/>
      <c r="I9" s="67"/>
      <c r="J9" s="67"/>
      <c r="K9" s="68"/>
      <c r="L9" s="66" t="s">
        <v>7</v>
      </c>
      <c r="M9" s="67"/>
      <c r="N9" s="67"/>
      <c r="O9" s="68"/>
      <c r="P9" s="8"/>
      <c r="S9" s="65"/>
      <c r="T9" s="65"/>
      <c r="U9" s="65"/>
      <c r="V9" s="65"/>
      <c r="W9" s="65"/>
      <c r="X9" s="65"/>
      <c r="Y9" s="65"/>
      <c r="Z9" s="65"/>
      <c r="AA9" s="65"/>
      <c r="AB9" s="65"/>
    </row>
    <row r="10" spans="2:28" ht="15.75" thickBot="1" x14ac:dyDescent="0.3">
      <c r="C10" s="9" t="s">
        <v>8</v>
      </c>
      <c r="D10" s="10" t="s">
        <v>9</v>
      </c>
      <c r="E10" s="11" t="s">
        <v>10</v>
      </c>
      <c r="F10" s="12" t="s">
        <v>11</v>
      </c>
      <c r="G10" s="10" t="s">
        <v>12</v>
      </c>
      <c r="H10" s="11" t="s">
        <v>13</v>
      </c>
      <c r="I10" s="12" t="s">
        <v>14</v>
      </c>
      <c r="J10" s="10" t="s">
        <v>15</v>
      </c>
      <c r="K10" s="11" t="s">
        <v>16</v>
      </c>
      <c r="L10" s="13" t="s">
        <v>17</v>
      </c>
      <c r="M10" s="14" t="s">
        <v>18</v>
      </c>
      <c r="N10" s="15" t="s">
        <v>19</v>
      </c>
      <c r="O10" s="15" t="s">
        <v>20</v>
      </c>
      <c r="P10" s="16" t="s">
        <v>21</v>
      </c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2:28" x14ac:dyDescent="0.25">
      <c r="B11" s="17" t="s">
        <v>22</v>
      </c>
      <c r="C11" s="18" t="s">
        <v>23</v>
      </c>
      <c r="D11" s="19">
        <v>60752.56</v>
      </c>
      <c r="E11" s="19">
        <v>58800.91</v>
      </c>
      <c r="F11" s="19">
        <v>51504.375</v>
      </c>
      <c r="G11" s="19">
        <v>64117.17</v>
      </c>
      <c r="H11" s="19">
        <v>97152.263999999996</v>
      </c>
      <c r="I11" s="19">
        <v>116393.21999999999</v>
      </c>
      <c r="J11" s="19">
        <v>129482.05499999999</v>
      </c>
      <c r="K11" s="19">
        <v>107861.545</v>
      </c>
      <c r="L11" s="19">
        <v>114209.99999999999</v>
      </c>
      <c r="M11" s="20">
        <v>64069.5</v>
      </c>
      <c r="N11" s="20">
        <v>62010</v>
      </c>
      <c r="O11" s="20">
        <v>60420</v>
      </c>
      <c r="P11" s="21">
        <f>SUM(D11:O11)</f>
        <v>986773.59900000005</v>
      </c>
      <c r="S11" s="65"/>
      <c r="T11" s="65"/>
      <c r="U11" s="65"/>
      <c r="V11" s="65"/>
      <c r="W11" s="65"/>
      <c r="X11" s="65"/>
      <c r="Y11" s="65"/>
      <c r="Z11" s="65"/>
      <c r="AA11" s="65"/>
      <c r="AB11" s="65"/>
    </row>
    <row r="12" spans="2:28" x14ac:dyDescent="0.25">
      <c r="B12" s="17" t="s">
        <v>24</v>
      </c>
      <c r="C12" s="22" t="s">
        <v>25</v>
      </c>
      <c r="D12" s="23">
        <f>'[2]Цена Газ'!$H$8</f>
        <v>50.01</v>
      </c>
      <c r="E12" s="23">
        <f>'[2]Цена Газ'!$H$8</f>
        <v>50.01</v>
      </c>
      <c r="F12" s="23">
        <f>'[2]Цена Газ'!$H$8</f>
        <v>50.01</v>
      </c>
      <c r="G12" s="23">
        <f>'[2]Цена Газ'!$H$8</f>
        <v>50.01</v>
      </c>
      <c r="H12" s="23">
        <f>'[2]Цена Газ'!$H$8</f>
        <v>50.01</v>
      </c>
      <c r="I12" s="23">
        <f>'[2]Цена Газ'!$H$8</f>
        <v>50.01</v>
      </c>
      <c r="J12" s="23">
        <f>'[2]Цена Газ'!$H$8</f>
        <v>50.01</v>
      </c>
      <c r="K12" s="23">
        <f>'[2]Цена Газ'!$H$8</f>
        <v>50.01</v>
      </c>
      <c r="L12" s="23">
        <f>'[2]Цена Газ'!$H$8</f>
        <v>50.01</v>
      </c>
      <c r="M12" s="23">
        <f>'[2]Цена Газ'!$H$8</f>
        <v>50.01</v>
      </c>
      <c r="N12" s="23">
        <f>'[2]Цена Газ'!$H$8</f>
        <v>50.01</v>
      </c>
      <c r="O12" s="23">
        <f>'[2]Цена Газ'!$H$8</f>
        <v>50.01</v>
      </c>
      <c r="P12" s="24">
        <f>IF(P11=0,0,SUMPRODUCT(D11:O11,D12:O12)/P11)</f>
        <v>50.010000000000005</v>
      </c>
      <c r="S12" s="65"/>
      <c r="T12" s="65"/>
      <c r="U12" s="65"/>
      <c r="V12" s="65"/>
      <c r="W12" s="65"/>
      <c r="X12" s="65"/>
      <c r="Y12" s="65"/>
      <c r="Z12" s="65"/>
      <c r="AA12" s="65"/>
      <c r="AB12" s="65"/>
    </row>
    <row r="13" spans="2:28" x14ac:dyDescent="0.25">
      <c r="B13" s="17" t="s">
        <v>26</v>
      </c>
      <c r="C13" s="22" t="s">
        <v>25</v>
      </c>
      <c r="D13" s="23">
        <f>'[1]7'!$X$28/10.54</f>
        <v>52.45742062277094</v>
      </c>
      <c r="E13" s="23">
        <f>'[1]8'!$Y$28/10.57</f>
        <v>60.113254561956211</v>
      </c>
      <c r="F13" s="23">
        <f>'[1]9'!$X$28/10.565</f>
        <v>72.323953062239866</v>
      </c>
      <c r="G13" s="23">
        <f>'[1]10'!$X$28/10.53</f>
        <v>96.885124530605466</v>
      </c>
      <c r="H13" s="23">
        <f>'[1]11'!$X$28/10.552</f>
        <v>95.684851976275098</v>
      </c>
      <c r="I13" s="23">
        <f>'[1]12'!$X$28/10.54</f>
        <v>106.99076801896196</v>
      </c>
      <c r="J13" s="23">
        <v>133.33383104216469</v>
      </c>
      <c r="K13" s="23">
        <v>109.86240021162737</v>
      </c>
      <c r="L13" s="25">
        <v>113.73</v>
      </c>
      <c r="M13" s="25">
        <v>113.73</v>
      </c>
      <c r="N13" s="25">
        <v>113.73</v>
      </c>
      <c r="O13" s="25">
        <v>113.73</v>
      </c>
      <c r="P13" s="26">
        <f>IF(P11=0,0,SUMPRODUCT(D13:O13,D11:O11)/P11)</f>
        <v>103.0850388293896</v>
      </c>
      <c r="S13" s="65"/>
      <c r="T13" s="65"/>
      <c r="U13" s="65"/>
      <c r="V13" s="65"/>
      <c r="W13" s="65"/>
      <c r="X13" s="65"/>
      <c r="Y13" s="65"/>
      <c r="Z13" s="65"/>
      <c r="AA13" s="65"/>
      <c r="AB13" s="65"/>
    </row>
    <row r="14" spans="2:28" ht="25.5" x14ac:dyDescent="0.25">
      <c r="B14" s="17" t="s">
        <v>27</v>
      </c>
      <c r="C14" s="22" t="s">
        <v>28</v>
      </c>
      <c r="D14" s="27">
        <f>+D11*(D12-D17)/1000</f>
        <v>-177.01536051506457</v>
      </c>
      <c r="E14" s="27">
        <f t="shared" ref="E14:O14" si="0">+E11*(E12-E17)/1000</f>
        <v>-621.62130430233879</v>
      </c>
      <c r="F14" s="27">
        <f t="shared" si="0"/>
        <v>-1162.8130656250009</v>
      </c>
      <c r="G14" s="27">
        <f t="shared" si="0"/>
        <v>-3040.9210724500012</v>
      </c>
      <c r="H14" s="27">
        <f t="shared" si="0"/>
        <v>-4483.8126738400006</v>
      </c>
      <c r="I14" s="27">
        <f t="shared" si="0"/>
        <v>-6491.2498794000003</v>
      </c>
      <c r="J14" s="27">
        <f t="shared" si="0"/>
        <v>-11017.228675281138</v>
      </c>
      <c r="K14" s="27">
        <f t="shared" si="0"/>
        <v>-6642.7826940922287</v>
      </c>
      <c r="L14" s="27">
        <f t="shared" si="0"/>
        <v>-7474.4734500000013</v>
      </c>
      <c r="M14" s="27">
        <f t="shared" si="0"/>
        <v>-4193.0284275000013</v>
      </c>
      <c r="N14" s="27">
        <f t="shared" si="0"/>
        <v>-4058.2444500000011</v>
      </c>
      <c r="O14" s="27">
        <f t="shared" si="0"/>
        <v>-3954.1869000000015</v>
      </c>
      <c r="P14" s="28">
        <f>+P11*(P12-P17)/1000</f>
        <v>-53317.377953005736</v>
      </c>
      <c r="S14" s="65"/>
      <c r="T14" s="65"/>
      <c r="U14" s="65"/>
      <c r="V14" s="65"/>
      <c r="W14" s="65"/>
      <c r="X14" s="65"/>
      <c r="Y14" s="65"/>
      <c r="Z14" s="65"/>
      <c r="AA14" s="65"/>
      <c r="AB14" s="65"/>
    </row>
    <row r="15" spans="2:28" s="34" customFormat="1" x14ac:dyDescent="0.25">
      <c r="B15" s="29" t="s">
        <v>29</v>
      </c>
      <c r="C15" s="30" t="s">
        <v>25</v>
      </c>
      <c r="D15" s="31">
        <f>[3]Sheet1!$B$2+3.45</f>
        <v>53.39</v>
      </c>
      <c r="E15" s="31">
        <f>[3]Sheet1!$B$3+3.45</f>
        <v>61.050000000000004</v>
      </c>
      <c r="F15" s="31">
        <f>[3]Sheet1!$B$4+3.45</f>
        <v>72.850000000000009</v>
      </c>
      <c r="G15" s="31">
        <f>[3]Sheet1!$B$5+3.45</f>
        <v>97.990000000000009</v>
      </c>
      <c r="H15" s="31">
        <f>[3]Sheet1!$B$6+3.45</f>
        <v>96.64</v>
      </c>
      <c r="I15" s="31">
        <f>[3]Sheet1!$B$7+3.45</f>
        <v>105.78</v>
      </c>
      <c r="J15" s="31">
        <f>[3]Sheet1!$B$8+3.45</f>
        <v>136.85999999999999</v>
      </c>
      <c r="K15" s="31">
        <f>[3]Sheet1!$B$9+3.45</f>
        <v>113.33</v>
      </c>
      <c r="L15" s="32">
        <f>113.73+3.45</f>
        <v>117.18</v>
      </c>
      <c r="M15" s="32">
        <f t="shared" ref="M15:O15" si="1">113.73+3.45</f>
        <v>117.18</v>
      </c>
      <c r="N15" s="32">
        <f t="shared" si="1"/>
        <v>117.18</v>
      </c>
      <c r="O15" s="32">
        <f t="shared" si="1"/>
        <v>117.18</v>
      </c>
      <c r="P15" s="33">
        <f>IF(P11=0,0,SUMPRODUCT(D15:O15,D11:O11)/P11)</f>
        <v>105.14182969913445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</row>
    <row r="16" spans="2:28" s="34" customFormat="1" x14ac:dyDescent="0.25">
      <c r="B16" s="35"/>
      <c r="C16" s="36"/>
      <c r="D16" s="37">
        <f>D13-D15</f>
        <v>-0.93257937722906092</v>
      </c>
      <c r="E16" s="37">
        <f t="shared" ref="E16:K16" si="2">E13-E15</f>
        <v>-0.9367454380437934</v>
      </c>
      <c r="F16" s="37">
        <f t="shared" si="2"/>
        <v>-0.52604693776014244</v>
      </c>
      <c r="G16" s="37">
        <f t="shared" si="2"/>
        <v>-1.1048754693945426</v>
      </c>
      <c r="H16" s="37">
        <f t="shared" si="2"/>
        <v>-0.95514802372490237</v>
      </c>
      <c r="I16" s="37">
        <f t="shared" si="2"/>
        <v>1.2107680189619572</v>
      </c>
      <c r="J16" s="37">
        <f t="shared" si="2"/>
        <v>-3.5261689578352957</v>
      </c>
      <c r="K16" s="37">
        <f t="shared" si="2"/>
        <v>-3.4675997883726239</v>
      </c>
      <c r="L16" s="37">
        <f>L13-L15</f>
        <v>-3.4500000000000028</v>
      </c>
      <c r="M16" s="37">
        <f>M13-M15</f>
        <v>-3.4500000000000028</v>
      </c>
      <c r="N16" s="37">
        <f>N13-N15</f>
        <v>-3.4500000000000028</v>
      </c>
      <c r="O16" s="37">
        <f>O13-O15</f>
        <v>-3.4500000000000028</v>
      </c>
      <c r="P16" s="37"/>
      <c r="S16" s="65"/>
      <c r="T16" s="65"/>
      <c r="U16" s="65"/>
      <c r="V16" s="65"/>
      <c r="W16" s="65"/>
      <c r="X16" s="65"/>
      <c r="Y16" s="65"/>
      <c r="Z16" s="65"/>
      <c r="AA16" s="65"/>
      <c r="AB16" s="65"/>
    </row>
    <row r="17" spans="2:28" s="34" customFormat="1" x14ac:dyDescent="0.25">
      <c r="B17" s="17" t="s">
        <v>30</v>
      </c>
      <c r="C17" s="22" t="s">
        <v>25</v>
      </c>
      <c r="D17" s="38">
        <f>IF(D16&gt;0,D15,0.5*(D15+D13))</f>
        <v>52.92371031138547</v>
      </c>
      <c r="E17" s="38">
        <f t="shared" ref="E17:O17" si="3">IF(E16&gt;0,E15,0.5*(E15+E13))</f>
        <v>60.581627280978111</v>
      </c>
      <c r="F17" s="38">
        <f t="shared" si="3"/>
        <v>72.586976531119944</v>
      </c>
      <c r="G17" s="38">
        <f t="shared" si="3"/>
        <v>97.437562265302745</v>
      </c>
      <c r="H17" s="38">
        <f t="shared" si="3"/>
        <v>96.162425988137556</v>
      </c>
      <c r="I17" s="38">
        <f t="shared" si="3"/>
        <v>105.78</v>
      </c>
      <c r="J17" s="38">
        <f t="shared" si="3"/>
        <v>135.09691552108234</v>
      </c>
      <c r="K17" s="38">
        <f t="shared" si="3"/>
        <v>111.59620010581369</v>
      </c>
      <c r="L17" s="38">
        <f t="shared" si="3"/>
        <v>115.45500000000001</v>
      </c>
      <c r="M17" s="38">
        <f t="shared" si="3"/>
        <v>115.45500000000001</v>
      </c>
      <c r="N17" s="38">
        <f t="shared" si="3"/>
        <v>115.45500000000001</v>
      </c>
      <c r="O17" s="38">
        <f t="shared" si="3"/>
        <v>115.45500000000001</v>
      </c>
      <c r="P17" s="39">
        <f>IF(P11=0,0,SUMPRODUCT(D17:O17,D11:O11)/P11)</f>
        <v>104.04202721175128</v>
      </c>
      <c r="S17" s="65"/>
      <c r="T17" s="65"/>
      <c r="U17" s="65"/>
      <c r="V17" s="65"/>
      <c r="W17" s="65"/>
      <c r="X17" s="65"/>
      <c r="Y17" s="65"/>
      <c r="Z17" s="65"/>
      <c r="AA17" s="65"/>
      <c r="AB17" s="65"/>
    </row>
    <row r="18" spans="2:28" s="34" customFormat="1" x14ac:dyDescent="0.25">
      <c r="B18" s="76" t="s">
        <v>45</v>
      </c>
      <c r="C18" s="22" t="s">
        <v>25</v>
      </c>
      <c r="D18" s="77"/>
      <c r="E18" s="78"/>
      <c r="F18" s="79"/>
      <c r="G18" s="79"/>
      <c r="H18" s="78"/>
      <c r="I18" s="79">
        <v>26.77</v>
      </c>
      <c r="J18" s="78">
        <v>42.31</v>
      </c>
      <c r="K18" s="78">
        <v>30.54</v>
      </c>
      <c r="L18" s="78">
        <v>32.47</v>
      </c>
      <c r="M18" s="78"/>
      <c r="N18" s="78"/>
      <c r="O18" s="78"/>
      <c r="P18"/>
      <c r="Q18"/>
      <c r="S18" s="65"/>
      <c r="T18" s="65"/>
      <c r="U18" s="65"/>
      <c r="V18" s="65"/>
      <c r="W18" s="65"/>
      <c r="X18" s="65"/>
      <c r="Y18" s="65"/>
      <c r="Z18" s="65"/>
      <c r="AA18" s="65"/>
      <c r="AB18" s="65"/>
    </row>
    <row r="19" spans="2:28" s="34" customFormat="1" ht="15.75" x14ac:dyDescent="0.25">
      <c r="B19" s="4" t="s">
        <v>31</v>
      </c>
      <c r="C19" s="40"/>
      <c r="D19" s="41"/>
      <c r="E19" s="41"/>
      <c r="F19" s="42"/>
      <c r="G19" s="41"/>
      <c r="H19" s="41"/>
      <c r="I19" s="41">
        <f>-I18*I11/1000</f>
        <v>-3115.8464993999996</v>
      </c>
      <c r="J19" s="41">
        <f t="shared" ref="J19:O19" si="4">-J18*J11/1000</f>
        <v>-5478.3857470500006</v>
      </c>
      <c r="K19" s="41">
        <f t="shared" si="4"/>
        <v>-3294.0915842999998</v>
      </c>
      <c r="L19" s="41">
        <f t="shared" si="4"/>
        <v>-3708.3986999999993</v>
      </c>
      <c r="M19" s="41">
        <f t="shared" si="4"/>
        <v>0</v>
      </c>
      <c r="N19" s="41">
        <f t="shared" si="4"/>
        <v>0</v>
      </c>
      <c r="O19" s="41">
        <f t="shared" si="4"/>
        <v>0</v>
      </c>
      <c r="P19" s="81">
        <f>SUM(I19:O19)</f>
        <v>-15596.722530749999</v>
      </c>
      <c r="S19" s="65"/>
      <c r="T19" s="65"/>
      <c r="U19" s="65"/>
      <c r="V19" s="65"/>
      <c r="W19" s="65"/>
      <c r="X19" s="65"/>
      <c r="Y19" s="65"/>
      <c r="Z19" s="65"/>
      <c r="AA19" s="65"/>
      <c r="AB19" s="65"/>
    </row>
    <row r="20" spans="2:28" s="34" customFormat="1" x14ac:dyDescent="0.25">
      <c r="B20" s="44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3"/>
      <c r="S20" s="65"/>
      <c r="T20" s="65"/>
      <c r="U20" s="65"/>
      <c r="V20" s="65"/>
      <c r="W20" s="65"/>
      <c r="X20" s="65"/>
      <c r="Y20" s="65"/>
      <c r="Z20" s="65"/>
      <c r="AA20" s="65"/>
      <c r="AB20" s="65"/>
    </row>
    <row r="21" spans="2:28" ht="15.75" thickBot="1" x14ac:dyDescent="0.3">
      <c r="D21" s="69" t="s">
        <v>4</v>
      </c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70"/>
      <c r="S21" s="65"/>
      <c r="T21" s="65"/>
      <c r="U21" s="65"/>
      <c r="V21" s="65"/>
      <c r="W21" s="65"/>
      <c r="X21" s="65"/>
      <c r="Y21" s="65"/>
      <c r="Z21" s="65"/>
      <c r="AA21" s="65"/>
      <c r="AB21" s="65"/>
    </row>
    <row r="22" spans="2:28" ht="15.75" thickBot="1" x14ac:dyDescent="0.3">
      <c r="D22" s="66" t="s">
        <v>6</v>
      </c>
      <c r="E22" s="67"/>
      <c r="F22" s="67"/>
      <c r="G22" s="67"/>
      <c r="H22" s="67"/>
      <c r="I22" s="67"/>
      <c r="J22" s="67"/>
      <c r="K22" s="68"/>
      <c r="L22" s="66" t="s">
        <v>7</v>
      </c>
      <c r="M22" s="67"/>
      <c r="N22" s="67"/>
      <c r="O22" s="68"/>
      <c r="P22" s="8"/>
      <c r="S22" s="65"/>
      <c r="T22" s="65"/>
      <c r="U22" s="65"/>
      <c r="V22" s="65"/>
      <c r="W22" s="65"/>
      <c r="X22" s="65"/>
      <c r="Y22" s="65"/>
      <c r="Z22" s="65"/>
      <c r="AA22" s="65"/>
      <c r="AB22" s="65"/>
    </row>
    <row r="23" spans="2:28" ht="15.75" thickBot="1" x14ac:dyDescent="0.3">
      <c r="C23" s="9" t="s">
        <v>8</v>
      </c>
      <c r="D23" s="10" t="s">
        <v>9</v>
      </c>
      <c r="E23" s="11" t="s">
        <v>10</v>
      </c>
      <c r="F23" s="12" t="s">
        <v>11</v>
      </c>
      <c r="G23" s="10" t="s">
        <v>12</v>
      </c>
      <c r="H23" s="11" t="s">
        <v>13</v>
      </c>
      <c r="I23" s="12" t="s">
        <v>14</v>
      </c>
      <c r="J23" s="10" t="s">
        <v>15</v>
      </c>
      <c r="K23" s="11" t="s">
        <v>16</v>
      </c>
      <c r="L23" s="13" t="s">
        <v>17</v>
      </c>
      <c r="M23" s="14" t="s">
        <v>18</v>
      </c>
      <c r="N23" s="15" t="s">
        <v>19</v>
      </c>
      <c r="O23" s="15" t="s">
        <v>20</v>
      </c>
      <c r="P23" s="16" t="s">
        <v>21</v>
      </c>
      <c r="S23" s="65"/>
      <c r="T23" s="65"/>
      <c r="U23" s="65"/>
      <c r="V23" s="65"/>
      <c r="W23" s="65"/>
      <c r="X23" s="65"/>
      <c r="Y23" s="65"/>
      <c r="Z23" s="65"/>
      <c r="AA23" s="65"/>
      <c r="AB23" s="65"/>
    </row>
    <row r="24" spans="2:28" x14ac:dyDescent="0.25">
      <c r="B24" s="17" t="s">
        <v>32</v>
      </c>
      <c r="C24" s="22" t="s">
        <v>33</v>
      </c>
      <c r="D24" s="45">
        <v>10986.414559999999</v>
      </c>
      <c r="E24" s="46">
        <v>10603.300519999999</v>
      </c>
      <c r="F24" s="46">
        <v>9291.9449999999997</v>
      </c>
      <c r="G24" s="46">
        <v>11605.877559999999</v>
      </c>
      <c r="H24" s="46">
        <v>17548.91028</v>
      </c>
      <c r="I24" s="46">
        <v>21048.399720000001</v>
      </c>
      <c r="J24" s="46">
        <v>23404.265159999999</v>
      </c>
      <c r="K24" s="46">
        <v>19477.822759999999</v>
      </c>
      <c r="L24" s="46">
        <v>20585.232</v>
      </c>
      <c r="M24" s="47">
        <v>11531.541999999999</v>
      </c>
      <c r="N24" s="47">
        <v>11150.333999999999</v>
      </c>
      <c r="O24" s="47">
        <v>10864.428</v>
      </c>
      <c r="P24" s="48">
        <f>SUM(D24:O24)</f>
        <v>178098.47155999998</v>
      </c>
      <c r="S24" s="65"/>
      <c r="T24" s="65"/>
      <c r="U24" s="65"/>
      <c r="V24" s="65"/>
      <c r="W24" s="65"/>
      <c r="X24" s="65"/>
      <c r="Y24" s="65"/>
      <c r="Z24" s="65"/>
      <c r="AA24" s="65"/>
      <c r="AB24" s="65"/>
    </row>
    <row r="25" spans="2:28" ht="25.5" x14ac:dyDescent="0.25">
      <c r="B25" s="17" t="s">
        <v>34</v>
      </c>
      <c r="C25" s="22" t="s">
        <v>35</v>
      </c>
      <c r="D25" s="47">
        <v>51</v>
      </c>
      <c r="E25" s="47">
        <v>51</v>
      </c>
      <c r="F25" s="47">
        <v>51</v>
      </c>
      <c r="G25" s="47">
        <v>51</v>
      </c>
      <c r="H25" s="47">
        <v>51</v>
      </c>
      <c r="I25" s="47">
        <v>51</v>
      </c>
      <c r="J25" s="47">
        <v>51</v>
      </c>
      <c r="K25" s="47">
        <v>51</v>
      </c>
      <c r="L25" s="47">
        <v>51</v>
      </c>
      <c r="M25" s="47">
        <v>51</v>
      </c>
      <c r="N25" s="47">
        <v>51</v>
      </c>
      <c r="O25" s="47">
        <v>51</v>
      </c>
      <c r="P25" s="49">
        <f>IF(P24=0,0,SUMPRODUCT(D24:O24,D25:O25)/P24)</f>
        <v>51.000000000000014</v>
      </c>
      <c r="S25" s="65"/>
      <c r="T25" s="65"/>
      <c r="U25" s="65"/>
      <c r="V25" s="65"/>
      <c r="W25" s="65"/>
      <c r="X25" s="65"/>
      <c r="Y25" s="65"/>
      <c r="Z25" s="65"/>
      <c r="AA25" s="65"/>
      <c r="AB25" s="65"/>
    </row>
    <row r="26" spans="2:28" ht="25.5" x14ac:dyDescent="0.25">
      <c r="B26" s="17" t="s">
        <v>36</v>
      </c>
      <c r="C26" s="22" t="s">
        <v>35</v>
      </c>
      <c r="D26" s="50">
        <v>53.39</v>
      </c>
      <c r="E26" s="50">
        <v>56.66</v>
      </c>
      <c r="F26" s="50">
        <v>61.31</v>
      </c>
      <c r="G26" s="50">
        <v>59.48</v>
      </c>
      <c r="H26" s="50">
        <v>66.12</v>
      </c>
      <c r="I26" s="50">
        <v>79.97</v>
      </c>
      <c r="J26" s="51">
        <v>84.59</v>
      </c>
      <c r="K26" s="51">
        <v>91.18</v>
      </c>
      <c r="L26" s="51">
        <v>75</v>
      </c>
      <c r="M26" s="51">
        <v>75</v>
      </c>
      <c r="N26" s="51">
        <v>75</v>
      </c>
      <c r="O26" s="51">
        <v>75</v>
      </c>
      <c r="P26" s="52">
        <f>IF(P24=0,0,SUMPRODUCT(D26:O26,D24:O24)/P24)</f>
        <v>73.59158477723436</v>
      </c>
    </row>
    <row r="27" spans="2:28" ht="25.5" x14ac:dyDescent="0.25">
      <c r="B27" s="17" t="s">
        <v>37</v>
      </c>
      <c r="C27" s="22" t="s">
        <v>28</v>
      </c>
      <c r="D27" s="53">
        <f>+D24*(D25-D26)*1.95583/1000</f>
        <v>-51.355266461434681</v>
      </c>
      <c r="E27" s="53">
        <f t="shared" ref="E27:O27" si="5">+E24*(E25-E26)*1.95583/1000</f>
        <v>-117.37851342913876</v>
      </c>
      <c r="F27" s="53">
        <f t="shared" si="5"/>
        <v>-187.36842197819854</v>
      </c>
      <c r="G27" s="53">
        <f t="shared" si="5"/>
        <v>-192.48856734932221</v>
      </c>
      <c r="H27" s="53">
        <f t="shared" si="5"/>
        <v>-518.95900011713798</v>
      </c>
      <c r="I27" s="53">
        <f t="shared" si="5"/>
        <v>-1192.6106443579292</v>
      </c>
      <c r="J27" s="53">
        <f t="shared" si="5"/>
        <v>-1537.5743203375832</v>
      </c>
      <c r="K27" s="53">
        <f t="shared" si="5"/>
        <v>-1530.6695593635966</v>
      </c>
      <c r="L27" s="53">
        <f t="shared" si="5"/>
        <v>-966.26914326143992</v>
      </c>
      <c r="M27" s="53">
        <f t="shared" si="5"/>
        <v>-541.28965895663998</v>
      </c>
      <c r="N27" s="53">
        <f t="shared" si="5"/>
        <v>-523.39578593327985</v>
      </c>
      <c r="O27" s="53">
        <f t="shared" si="5"/>
        <v>-509.97538116575998</v>
      </c>
      <c r="P27" s="54">
        <f>+P24*(P25-P26)*1.95583/1000</f>
        <v>-7869.3342627114607</v>
      </c>
    </row>
    <row r="28" spans="2:28" x14ac:dyDescent="0.25">
      <c r="B28" s="55"/>
      <c r="C28" s="56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2:28" x14ac:dyDescent="0.25">
      <c r="B29" s="55"/>
      <c r="C29" s="56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2:28" ht="21" x14ac:dyDescent="0.25">
      <c r="B30" s="71" t="s">
        <v>38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58" t="s">
        <v>39</v>
      </c>
      <c r="P30" s="59">
        <f>+P14+P27</f>
        <v>-61186.712215717198</v>
      </c>
    </row>
    <row r="31" spans="2:28" ht="21" x14ac:dyDescent="0.25"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  <c r="P31" s="80">
        <f>P30-P19</f>
        <v>-45589.9896849672</v>
      </c>
    </row>
    <row r="32" spans="2:28" ht="21" x14ac:dyDescent="0.25"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1"/>
      <c r="P32" s="62"/>
    </row>
    <row r="33" spans="2:15" x14ac:dyDescent="0.25">
      <c r="B33" s="55"/>
      <c r="C33" s="56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2:15" x14ac:dyDescent="0.25">
      <c r="B34" s="72" t="s">
        <v>40</v>
      </c>
      <c r="C34" s="73"/>
      <c r="D34" s="73"/>
      <c r="E34" s="63" t="s">
        <v>41</v>
      </c>
      <c r="M34" s="64" t="s">
        <v>42</v>
      </c>
    </row>
    <row r="35" spans="2:15" x14ac:dyDescent="0.25">
      <c r="G35" s="64" t="s">
        <v>43</v>
      </c>
      <c r="M35" s="74" t="s">
        <v>44</v>
      </c>
      <c r="N35" s="74"/>
    </row>
  </sheetData>
  <mergeCells count="11">
    <mergeCell ref="B30:N30"/>
    <mergeCell ref="B34:D34"/>
    <mergeCell ref="M35:N35"/>
    <mergeCell ref="B2:P2"/>
    <mergeCell ref="D8:P8"/>
    <mergeCell ref="S8:AB25"/>
    <mergeCell ref="D9:K9"/>
    <mergeCell ref="L9:O9"/>
    <mergeCell ref="D21:P21"/>
    <mergeCell ref="D22:K22"/>
    <mergeCell ref="L22:O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Latinka Nikolova</dc:creator>
  <cp:lastModifiedBy>Erdinai Mutratov</cp:lastModifiedBy>
  <dcterms:created xsi:type="dcterms:W3CDTF">2015-06-05T18:17:20Z</dcterms:created>
  <dcterms:modified xsi:type="dcterms:W3CDTF">2022-03-24T13:40:43Z</dcterms:modified>
</cp:coreProperties>
</file>