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bookViews>
    <workbookView xWindow="0" yWindow="0" windowWidth="28800" windowHeight="13425"/>
  </bookViews>
  <sheets>
    <sheet name="Sheet1" sheetId="1" r:id="rId1"/>
  </sheets>
  <definedNames>
    <definedName name="_xlnm.Print_Area" localSheetId="0">Sheet1!$A$3:$O$29</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28" i="1"/>
  <c r="O17"/>
  <c r="N17"/>
  <c r="M17"/>
  <c r="L17"/>
  <c r="J17"/>
  <c r="I17"/>
  <c r="H17"/>
  <c r="O16"/>
  <c r="M16"/>
  <c r="I16"/>
  <c r="J16"/>
  <c r="K16"/>
  <c r="G16"/>
  <c r="H16"/>
  <c r="H15"/>
  <c r="L15" s="1"/>
  <c r="N15"/>
  <c r="J15"/>
  <c r="J14"/>
  <c r="I14"/>
  <c r="H14"/>
  <c r="N14" s="1"/>
  <c r="H13"/>
  <c r="J13"/>
  <c r="P12"/>
  <c r="J12"/>
  <c r="H12"/>
  <c r="L12" s="1"/>
  <c r="L16" l="1"/>
  <c r="N16"/>
  <c r="M13"/>
  <c r="L14"/>
  <c r="M15"/>
  <c r="O15" s="1"/>
  <c r="N13"/>
  <c r="L13"/>
  <c r="O13" s="1"/>
  <c r="M14"/>
  <c r="M12"/>
  <c r="O12" s="1"/>
  <c r="N12"/>
  <c r="P10"/>
  <c r="P8"/>
  <c r="P7"/>
  <c r="P6"/>
  <c r="P5"/>
  <c r="P4"/>
  <c r="W11"/>
  <c r="T11"/>
  <c r="AD11"/>
  <c r="AE11" s="1"/>
  <c r="J11"/>
  <c r="H11"/>
  <c r="AC4"/>
  <c r="AC5"/>
  <c r="AC6"/>
  <c r="AC7"/>
  <c r="AC8"/>
  <c r="AC9"/>
  <c r="AC10"/>
  <c r="Z4"/>
  <c r="Z5"/>
  <c r="Z6"/>
  <c r="Z7"/>
  <c r="Z8"/>
  <c r="Z10"/>
  <c r="O14" l="1"/>
  <c r="M11"/>
  <c r="N11"/>
  <c r="L11"/>
  <c r="W4"/>
  <c r="W5"/>
  <c r="W6"/>
  <c r="W7"/>
  <c r="W8"/>
  <c r="W9"/>
  <c r="W10"/>
  <c r="T4"/>
  <c r="T5"/>
  <c r="T6"/>
  <c r="T7"/>
  <c r="T8"/>
  <c r="T9"/>
  <c r="T10"/>
  <c r="O11" l="1"/>
  <c r="AG11"/>
  <c r="AD4"/>
  <c r="AE4" s="1"/>
  <c r="AD5"/>
  <c r="AE5" s="1"/>
  <c r="AD6"/>
  <c r="AE6" s="1"/>
  <c r="AD7"/>
  <c r="AE7" s="1"/>
  <c r="AD8"/>
  <c r="AE8" s="1"/>
  <c r="AD9"/>
  <c r="AE9" s="1"/>
  <c r="AD10"/>
  <c r="AE10" s="1"/>
  <c r="K8"/>
  <c r="J8"/>
  <c r="I8"/>
  <c r="G8"/>
  <c r="H8" s="1"/>
  <c r="K10"/>
  <c r="J10"/>
  <c r="J9"/>
  <c r="J7"/>
  <c r="H10"/>
  <c r="H9"/>
  <c r="J6"/>
  <c r="J5"/>
  <c r="J4"/>
  <c r="H4"/>
  <c r="H5"/>
  <c r="H6"/>
  <c r="H7"/>
  <c r="M6" l="1"/>
  <c r="M4"/>
  <c r="L9"/>
  <c r="N5"/>
  <c r="L10"/>
  <c r="N9"/>
  <c r="M9"/>
  <c r="AG9"/>
  <c r="L8"/>
  <c r="O8" s="1"/>
  <c r="N8"/>
  <c r="M10"/>
  <c r="M8"/>
  <c r="M7"/>
  <c r="N10"/>
  <c r="N7"/>
  <c r="L7"/>
  <c r="N4"/>
  <c r="L5"/>
  <c r="L4"/>
  <c r="O4" s="1"/>
  <c r="M5"/>
  <c r="L6"/>
  <c r="O6" s="1"/>
  <c r="N6"/>
  <c r="O10" l="1"/>
  <c r="O9"/>
  <c r="O5"/>
  <c r="O7"/>
  <c r="AG6"/>
  <c r="AG4"/>
  <c r="AG10"/>
  <c r="AG7"/>
  <c r="AG5"/>
  <c r="AG8"/>
  <c r="AI11" l="1"/>
</calcChain>
</file>

<file path=xl/sharedStrings.xml><?xml version="1.0" encoding="utf-8"?>
<sst xmlns="http://schemas.openxmlformats.org/spreadsheetml/2006/main" count="35" uniqueCount="29">
  <si>
    <t>GCV **</t>
  </si>
  <si>
    <t>Представителна калоричност / Representative calorific value*</t>
  </si>
  <si>
    <t>* Съгласно Методика за превръщане на измерените  количества природен газ от единици в обем в енергийни единици/According to Methodology for conversion of the measured quantities in volume units into energy units</t>
  </si>
  <si>
    <t>GCV***</t>
  </si>
  <si>
    <t>GCV*** -"За определяне на енергийната стойност на количествата природен газ в режим на добив от ПГХ Чирен, се използва представителна калоричност, изчислена на база използваните в режим на нагнетяване представителни калоричности, средно претеглени по месечните количества в енергийни единици, при условие че има сключен договор за съхранение, съгласно който се заявяват и разпределят количествата в енергийни единици./
To determine the energy value of the natural gas quantities in withdrawal regime of Chiren UGS, a representative calorific value is used which is calculated on the basis of the representative calorific values used in injection regime, average weighted by the monthly quantities in energy units, provided that a storage contract has been concluded according to which quantities are nominated and allocated in energy units.</t>
  </si>
  <si>
    <t>GCV****</t>
  </si>
  <si>
    <t>GCV**** - За определяне на енергийната стойност на количествата природен газ в режим на нагнетяване в ПГХ Чирен./ To determine the energy value of the natural gas quantities in injection regime in Chiren UGS.</t>
  </si>
  <si>
    <r>
      <t xml:space="preserve">GCV** – Представителна калоричност / Representative calorific value
 Калорична стойност, горна граница на топлина на изгаряне на природния газ при референтна температура 25 </t>
    </r>
    <r>
      <rPr>
        <vertAlign val="superscript"/>
        <sz val="11"/>
        <color theme="1"/>
        <rFont val="Tahoma"/>
        <family val="2"/>
        <charset val="204"/>
      </rPr>
      <t>о</t>
    </r>
    <r>
      <rPr>
        <sz val="11"/>
        <color theme="1"/>
        <rFont val="Tahoma"/>
        <family val="2"/>
        <charset val="204"/>
      </rPr>
      <t xml:space="preserve">С /20 </t>
    </r>
    <r>
      <rPr>
        <vertAlign val="superscript"/>
        <sz val="11"/>
        <color theme="1"/>
        <rFont val="Tahoma"/>
        <family val="2"/>
        <charset val="204"/>
      </rPr>
      <t>о</t>
    </r>
    <r>
      <rPr>
        <sz val="11"/>
        <color theme="1"/>
        <rFont val="Tahoma"/>
        <family val="2"/>
        <charset val="204"/>
      </rPr>
      <t>С, kWh/m</t>
    </r>
    <r>
      <rPr>
        <vertAlign val="superscript"/>
        <sz val="11"/>
        <color theme="1"/>
        <rFont val="Tahoma"/>
        <family val="2"/>
        <charset val="204"/>
      </rPr>
      <t xml:space="preserve">3 </t>
    </r>
    <r>
      <rPr>
        <sz val="11"/>
        <color theme="1"/>
        <rFont val="Tahoma"/>
        <family val="2"/>
        <charset val="204"/>
      </rPr>
      <t xml:space="preserve">/Gross calorific value at (25⁰ C/20⁰ C) </t>
    </r>
  </si>
  <si>
    <t>MWh</t>
  </si>
  <si>
    <t>х.н.к.м.</t>
  </si>
  <si>
    <t>Стойност</t>
  </si>
  <si>
    <t>Стойност капацитет</t>
  </si>
  <si>
    <t>Стойност пренос</t>
  </si>
  <si>
    <t>цена на х.н.к.м.</t>
  </si>
  <si>
    <t>цена на капацитет на х.н.к.м.</t>
  </si>
  <si>
    <t>цена пренос на х.н.к.м.</t>
  </si>
  <si>
    <t>Обща цена на х.н.к.м.</t>
  </si>
  <si>
    <t>ТЕЦ 200</t>
  </si>
  <si>
    <t>ТЕЦ 500</t>
  </si>
  <si>
    <t>ГЕЦ Звън</t>
  </si>
  <si>
    <t>ГЕЦ Мокр</t>
  </si>
  <si>
    <t>ОБЩО ПРИХОДИ</t>
  </si>
  <si>
    <t>Разлика</t>
  </si>
  <si>
    <t>Реално произведено</t>
  </si>
  <si>
    <t>Реална цена на ток</t>
  </si>
  <si>
    <t>Общо приходи след ФСЕС</t>
  </si>
  <si>
    <t>БАЛАНСИРАНЕ</t>
  </si>
  <si>
    <t>Mесец/2019/2020</t>
  </si>
  <si>
    <t>Средно  2019</t>
  </si>
</sst>
</file>

<file path=xl/styles.xml><?xml version="1.0" encoding="utf-8"?>
<styleSheet xmlns="http://schemas.openxmlformats.org/spreadsheetml/2006/main">
  <numFmts count="5">
    <numFmt numFmtId="164" formatCode="#,##0.000"/>
    <numFmt numFmtId="165" formatCode="_-* #,##0\ [$лв.-402]_-;\-* #,##0\ [$лв.-402]_-;_-* &quot;-&quot;??\ [$лв.-402]_-;_-@_-"/>
    <numFmt numFmtId="166" formatCode="#,##0_ ;\-#,##0\ "/>
    <numFmt numFmtId="167" formatCode="_-* #,##0.00\ [$лв.-402]_-;\-* #,##0.00\ [$лв.-402]_-;_-* &quot;-&quot;??\ [$лв.-402]_-;_-@_-"/>
    <numFmt numFmtId="168" formatCode="0.000"/>
  </numFmts>
  <fonts count="8">
    <font>
      <sz val="11"/>
      <color theme="1"/>
      <name val="Calibri"/>
      <family val="2"/>
      <charset val="204"/>
      <scheme val="minor"/>
    </font>
    <font>
      <sz val="11"/>
      <color theme="1"/>
      <name val="Tahoma"/>
      <family val="2"/>
      <charset val="204"/>
    </font>
    <font>
      <vertAlign val="superscript"/>
      <sz val="11"/>
      <color theme="1"/>
      <name val="Tahoma"/>
      <family val="2"/>
      <charset val="204"/>
    </font>
    <font>
      <sz val="11"/>
      <color theme="1"/>
      <name val="Calibri Light"/>
      <family val="2"/>
      <charset val="204"/>
      <scheme val="major"/>
    </font>
    <font>
      <b/>
      <sz val="11"/>
      <color theme="1"/>
      <name val="Tahoma"/>
      <family val="2"/>
      <charset val="204"/>
    </font>
    <font>
      <sz val="11"/>
      <color rgb="FF000000"/>
      <name val="Tahoma"/>
      <family val="2"/>
      <charset val="204"/>
    </font>
    <font>
      <b/>
      <sz val="11"/>
      <color theme="0"/>
      <name val="Tahoma"/>
      <family val="2"/>
      <charset val="204"/>
    </font>
    <font>
      <b/>
      <sz val="11"/>
      <color theme="1"/>
      <name val="Calibri Light"/>
      <family val="2"/>
      <charset val="204"/>
      <scheme val="major"/>
    </font>
  </fonts>
  <fills count="5">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3" fillId="0" borderId="0" xfId="0" applyFont="1"/>
    <xf numFmtId="0" fontId="3" fillId="0" borderId="0" xfId="0" applyFont="1" applyBorder="1" applyAlignment="1">
      <alignment horizontal="center" wrapText="1"/>
    </xf>
    <xf numFmtId="0" fontId="4" fillId="0" borderId="1" xfId="0" applyFont="1" applyBorder="1"/>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xf numFmtId="0" fontId="5"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center"/>
    </xf>
    <xf numFmtId="0" fontId="1" fillId="0" borderId="0" xfId="0" applyFont="1" applyBorder="1"/>
    <xf numFmtId="0" fontId="7" fillId="3" borderId="1" xfId="0" applyFont="1" applyFill="1" applyBorder="1" applyAlignment="1">
      <alignment wrapText="1"/>
    </xf>
    <xf numFmtId="164" fontId="3" fillId="3" borderId="1" xfId="0" applyNumberFormat="1" applyFont="1" applyFill="1" applyBorder="1"/>
    <xf numFmtId="4" fontId="3" fillId="3" borderId="1" xfId="0" applyNumberFormat="1" applyFont="1" applyFill="1" applyBorder="1"/>
    <xf numFmtId="4" fontId="7" fillId="3" borderId="1" xfId="0" applyNumberFormat="1" applyFont="1" applyFill="1" applyBorder="1"/>
    <xf numFmtId="0" fontId="1" fillId="0" borderId="0" xfId="0" applyFont="1" applyAlignment="1">
      <alignment horizontal="left"/>
    </xf>
    <xf numFmtId="0" fontId="1" fillId="0" borderId="0" xfId="0" applyFont="1" applyAlignment="1">
      <alignment horizontal="left" vertical="center"/>
    </xf>
    <xf numFmtId="0" fontId="3" fillId="0" borderId="0" xfId="0" applyFont="1" applyAlignment="1">
      <alignment horizontal="left"/>
    </xf>
    <xf numFmtId="0" fontId="7" fillId="0" borderId="0" xfId="0" applyFont="1"/>
    <xf numFmtId="165" fontId="3" fillId="0" borderId="0" xfId="0" applyNumberFormat="1" applyFont="1"/>
    <xf numFmtId="0" fontId="3" fillId="0" borderId="8" xfId="0" applyFont="1" applyBorder="1"/>
    <xf numFmtId="0" fontId="3" fillId="0" borderId="9" xfId="0" applyFont="1" applyBorder="1" applyAlignment="1">
      <alignment wrapText="1"/>
    </xf>
    <xf numFmtId="165" fontId="3" fillId="0" borderId="5" xfId="0" applyNumberFormat="1" applyFont="1" applyBorder="1"/>
    <xf numFmtId="166" fontId="3" fillId="0" borderId="0" xfId="0" applyNumberFormat="1" applyFont="1" applyBorder="1"/>
    <xf numFmtId="165" fontId="3" fillId="0" borderId="3" xfId="0" applyNumberFormat="1" applyFont="1" applyBorder="1"/>
    <xf numFmtId="165" fontId="3" fillId="0" borderId="6" xfId="0" applyNumberFormat="1" applyFont="1" applyBorder="1"/>
    <xf numFmtId="166" fontId="3" fillId="0" borderId="7" xfId="0" applyNumberFormat="1" applyFont="1" applyBorder="1"/>
    <xf numFmtId="165" fontId="3" fillId="0" borderId="4" xfId="0" applyNumberFormat="1" applyFont="1" applyBorder="1"/>
    <xf numFmtId="0" fontId="3" fillId="0" borderId="2" xfId="0" applyFont="1" applyBorder="1" applyAlignment="1">
      <alignment wrapText="1"/>
    </xf>
    <xf numFmtId="0" fontId="3" fillId="0" borderId="10" xfId="0" applyFont="1" applyBorder="1"/>
    <xf numFmtId="165" fontId="7" fillId="0" borderId="11" xfId="0" applyNumberFormat="1" applyFont="1" applyBorder="1"/>
    <xf numFmtId="165" fontId="7" fillId="0" borderId="12" xfId="0" applyNumberFormat="1" applyFont="1" applyBorder="1"/>
    <xf numFmtId="0" fontId="3" fillId="0" borderId="10" xfId="0" applyFont="1" applyBorder="1" applyAlignment="1">
      <alignment wrapText="1"/>
    </xf>
    <xf numFmtId="1" fontId="3" fillId="0" borderId="0" xfId="0" applyNumberFormat="1" applyFont="1"/>
    <xf numFmtId="165" fontId="7" fillId="0" borderId="0" xfId="0" applyNumberFormat="1" applyFont="1"/>
    <xf numFmtId="0" fontId="3" fillId="0" borderId="14" xfId="0" applyFont="1" applyBorder="1"/>
    <xf numFmtId="1" fontId="3" fillId="0" borderId="15" xfId="0" applyNumberFormat="1" applyFont="1" applyBorder="1"/>
    <xf numFmtId="2" fontId="3" fillId="0" borderId="16" xfId="0" applyNumberFormat="1" applyFont="1" applyBorder="1"/>
    <xf numFmtId="167" fontId="3" fillId="0" borderId="16" xfId="0" applyNumberFormat="1" applyFont="1" applyBorder="1"/>
    <xf numFmtId="0" fontId="3" fillId="0" borderId="15" xfId="0" applyFont="1" applyBorder="1"/>
    <xf numFmtId="165" fontId="7" fillId="0" borderId="13" xfId="0" applyNumberFormat="1" applyFont="1" applyBorder="1"/>
    <xf numFmtId="165" fontId="7" fillId="0" borderId="0" xfId="0" applyNumberFormat="1" applyFont="1" applyBorder="1"/>
    <xf numFmtId="0" fontId="7" fillId="0" borderId="17" xfId="0" applyFont="1" applyBorder="1" applyAlignment="1">
      <alignment wrapText="1"/>
    </xf>
    <xf numFmtId="165" fontId="7" fillId="0" borderId="17" xfId="0" applyNumberFormat="1" applyFont="1" applyBorder="1"/>
    <xf numFmtId="168" fontId="1" fillId="0" borderId="1" xfId="0" applyNumberFormat="1" applyFont="1" applyBorder="1" applyAlignment="1">
      <alignment horizontal="center"/>
    </xf>
    <xf numFmtId="0" fontId="3" fillId="4" borderId="0" xfId="0" applyFont="1" applyFill="1"/>
    <xf numFmtId="168" fontId="7" fillId="0" borderId="0" xfId="0" applyNumberFormat="1" applyFont="1"/>
    <xf numFmtId="0" fontId="6" fillId="2" borderId="0" xfId="0" applyFont="1" applyFill="1" applyBorder="1" applyAlignment="1">
      <alignment horizontal="center" wrapText="1"/>
    </xf>
    <xf numFmtId="0" fontId="1" fillId="0" borderId="0" xfId="0" applyFont="1" applyAlignment="1">
      <alignment horizontal="left" vertical="center" wrapText="1"/>
    </xf>
    <xf numFmtId="0" fontId="1" fillId="0" borderId="0" xfId="0" applyFont="1" applyAlignment="1">
      <alignment horizontal="left" vertical="top" wrapText="1"/>
    </xf>
    <xf numFmtId="17" fontId="5" fillId="0" borderId="1"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I29"/>
  <sheetViews>
    <sheetView tabSelected="1" workbookViewId="0">
      <selection activeCell="O17" sqref="O17"/>
    </sheetView>
  </sheetViews>
  <sheetFormatPr defaultRowHeight="15"/>
  <cols>
    <col min="1" max="2" width="9.140625" style="1"/>
    <col min="3" max="3" width="29" style="1" customWidth="1"/>
    <col min="4" max="4" width="10" style="1" customWidth="1"/>
    <col min="5" max="5" width="9.140625" style="1" hidden="1" customWidth="1"/>
    <col min="6" max="6" width="11.42578125" style="1" hidden="1" customWidth="1"/>
    <col min="7" max="7" width="11.85546875" style="1" customWidth="1"/>
    <col min="8" max="8" width="11.7109375" style="1" customWidth="1"/>
    <col min="9" max="9" width="14.85546875" style="1" customWidth="1"/>
    <col min="10" max="15" width="11.7109375" style="1" customWidth="1"/>
    <col min="16" max="16" width="14.42578125" style="1" hidden="1" customWidth="1"/>
    <col min="17" max="17" width="7.5703125" style="1" hidden="1" customWidth="1"/>
    <col min="18" max="18" width="16.85546875" style="1" hidden="1" customWidth="1"/>
    <col min="19" max="19" width="13.42578125" style="1" hidden="1" customWidth="1"/>
    <col min="20" max="20" width="17.140625" style="1" hidden="1" customWidth="1"/>
    <col min="21" max="29" width="15.85546875" style="1" hidden="1" customWidth="1"/>
    <col min="30" max="31" width="18.140625" style="1" hidden="1" customWidth="1"/>
    <col min="32" max="32" width="0" style="1" hidden="1" customWidth="1"/>
    <col min="33" max="33" width="14.85546875" style="1" hidden="1" customWidth="1"/>
    <col min="34" max="34" width="0" style="1" hidden="1" customWidth="1"/>
    <col min="35" max="35" width="14.5703125" style="1" hidden="1" customWidth="1"/>
    <col min="36" max="36" width="9.140625" style="1"/>
    <col min="37" max="37" width="14.5703125" style="1" bestFit="1" customWidth="1"/>
    <col min="38" max="16384" width="9.140625" style="1"/>
  </cols>
  <sheetData>
    <row r="1" spans="1:35" ht="15" customHeight="1">
      <c r="A1" s="47" t="s">
        <v>1</v>
      </c>
      <c r="B1" s="47"/>
      <c r="C1" s="47"/>
      <c r="D1" s="47"/>
      <c r="E1" s="47"/>
      <c r="F1" s="47"/>
    </row>
    <row r="2" spans="1:35" ht="15.75" thickBot="1">
      <c r="B2" s="2"/>
      <c r="C2" s="2"/>
      <c r="D2" s="2"/>
      <c r="E2" s="2"/>
    </row>
    <row r="3" spans="1:35" ht="32.25" customHeight="1">
      <c r="C3" s="3" t="s">
        <v>27</v>
      </c>
      <c r="D3" s="4" t="s">
        <v>0</v>
      </c>
      <c r="E3" s="4" t="s">
        <v>3</v>
      </c>
      <c r="F3" s="3" t="s">
        <v>5</v>
      </c>
      <c r="G3" s="11" t="s">
        <v>8</v>
      </c>
      <c r="H3" s="11" t="s">
        <v>9</v>
      </c>
      <c r="I3" s="11" t="s">
        <v>10</v>
      </c>
      <c r="J3" s="11" t="s">
        <v>11</v>
      </c>
      <c r="K3" s="11" t="s">
        <v>12</v>
      </c>
      <c r="L3" s="11" t="s">
        <v>13</v>
      </c>
      <c r="M3" s="11" t="s">
        <v>14</v>
      </c>
      <c r="N3" s="11" t="s">
        <v>15</v>
      </c>
      <c r="O3" s="11" t="s">
        <v>16</v>
      </c>
      <c r="P3" s="42" t="s">
        <v>26</v>
      </c>
      <c r="R3" s="20" t="s">
        <v>17</v>
      </c>
      <c r="S3" s="21" t="s">
        <v>23</v>
      </c>
      <c r="T3" s="28" t="s">
        <v>24</v>
      </c>
      <c r="U3" s="20" t="s">
        <v>18</v>
      </c>
      <c r="V3" s="21" t="s">
        <v>23</v>
      </c>
      <c r="W3" s="28" t="s">
        <v>24</v>
      </c>
      <c r="X3" s="20" t="s">
        <v>19</v>
      </c>
      <c r="Y3" s="21" t="s">
        <v>23</v>
      </c>
      <c r="Z3" s="28" t="s">
        <v>24</v>
      </c>
      <c r="AA3" s="20" t="s">
        <v>20</v>
      </c>
      <c r="AB3" s="21" t="s">
        <v>23</v>
      </c>
      <c r="AC3" s="28" t="s">
        <v>24</v>
      </c>
      <c r="AD3" s="29" t="s">
        <v>21</v>
      </c>
      <c r="AE3" s="32" t="s">
        <v>25</v>
      </c>
      <c r="AG3" s="1" t="s">
        <v>22</v>
      </c>
    </row>
    <row r="4" spans="1:35" ht="17.25" customHeight="1">
      <c r="C4" s="50">
        <v>43466</v>
      </c>
      <c r="D4" s="44">
        <v>10.557</v>
      </c>
      <c r="E4" s="5">
        <v>10.583</v>
      </c>
      <c r="F4" s="5"/>
      <c r="G4" s="12">
        <v>26235.999</v>
      </c>
      <c r="H4" s="12">
        <f t="shared" ref="H4:H14" si="0">G4/D4</f>
        <v>2485.1756180733164</v>
      </c>
      <c r="I4" s="13">
        <v>1175372.76</v>
      </c>
      <c r="J4" s="13">
        <f>52262.74+7571.81+24607.69</f>
        <v>84442.239999999991</v>
      </c>
      <c r="K4" s="13">
        <v>10470.790000000001</v>
      </c>
      <c r="L4" s="13">
        <f t="shared" ref="L4:L17" si="1">I4/H4</f>
        <v>472.95360193145302</v>
      </c>
      <c r="M4" s="13">
        <f t="shared" ref="M4:M17" si="2">J4/H4</f>
        <v>33.978379389326854</v>
      </c>
      <c r="N4" s="13">
        <f t="shared" ref="N4:N17" si="3">K4/H4</f>
        <v>4.2132998263187922</v>
      </c>
      <c r="O4" s="14">
        <f>L4+M4+N4</f>
        <v>511.14528114709867</v>
      </c>
      <c r="P4" s="43">
        <f>14652.89+830.19</f>
        <v>15483.08</v>
      </c>
      <c r="Q4" s="1">
        <v>171.28</v>
      </c>
      <c r="R4" s="22">
        <v>758224.27999999991</v>
      </c>
      <c r="S4" s="23">
        <v>3286.4879999999998</v>
      </c>
      <c r="T4" s="24">
        <f t="shared" ref="T4:T11" si="4">R4/S4</f>
        <v>230.70958421269145</v>
      </c>
      <c r="U4" s="22">
        <v>437976.14</v>
      </c>
      <c r="V4" s="23">
        <v>2539.8119999999999</v>
      </c>
      <c r="W4" s="24">
        <f t="shared" ref="W4:W11" si="5">U4/V4</f>
        <v>172.44431477605431</v>
      </c>
      <c r="X4" s="22">
        <v>130609.34999999999</v>
      </c>
      <c r="Y4" s="23">
        <v>285.3664</v>
      </c>
      <c r="Z4" s="24">
        <f t="shared" ref="Z4:Z10" si="6">X4/Y4</f>
        <v>457.69000835417199</v>
      </c>
      <c r="AA4" s="22">
        <v>138899.75999999998</v>
      </c>
      <c r="AB4" s="23">
        <v>303.48</v>
      </c>
      <c r="AC4" s="24">
        <f t="shared" ref="AC4:AC10" si="7">AA4/AB4</f>
        <v>457.68999604586782</v>
      </c>
      <c r="AD4" s="30">
        <f t="shared" ref="AD4:AD11" si="8">R4+U4+X4+AA4</f>
        <v>1465709.53</v>
      </c>
      <c r="AE4" s="30">
        <f t="shared" ref="AE4:AE11" si="9">AD4*0.95</f>
        <v>1392424.0534999999</v>
      </c>
      <c r="AG4" s="19" t="e">
        <f>AE4-#REF!</f>
        <v>#REF!</v>
      </c>
      <c r="AI4" s="19"/>
    </row>
    <row r="5" spans="1:35" ht="17.25" customHeight="1">
      <c r="C5" s="50">
        <v>43497</v>
      </c>
      <c r="D5" s="44">
        <v>10.54</v>
      </c>
      <c r="E5" s="5">
        <v>10.583</v>
      </c>
      <c r="F5" s="5"/>
      <c r="G5" s="12">
        <v>21151.986000000001</v>
      </c>
      <c r="H5" s="12">
        <f t="shared" si="0"/>
        <v>2006.8297912713474</v>
      </c>
      <c r="I5" s="13">
        <v>947608.97</v>
      </c>
      <c r="J5" s="13">
        <f>41452.06+6946.98+18590.73</f>
        <v>66989.76999999999</v>
      </c>
      <c r="K5" s="13">
        <v>8441.76</v>
      </c>
      <c r="L5" s="13">
        <f t="shared" si="1"/>
        <v>472.19199860476454</v>
      </c>
      <c r="M5" s="13">
        <f t="shared" si="2"/>
        <v>33.380892735084068</v>
      </c>
      <c r="N5" s="13">
        <f t="shared" si="3"/>
        <v>4.2065151896375115</v>
      </c>
      <c r="O5" s="14">
        <f t="shared" ref="O5:O17" si="10">L5+M5+N5</f>
        <v>509.7794065294861</v>
      </c>
      <c r="P5" s="43">
        <f>9217.22+3044</f>
        <v>12261.22</v>
      </c>
      <c r="Q5" s="1">
        <v>171.28</v>
      </c>
      <c r="R5" s="22">
        <v>525850.57000000007</v>
      </c>
      <c r="S5" s="23">
        <v>2979.078</v>
      </c>
      <c r="T5" s="24">
        <f t="shared" si="4"/>
        <v>176.51453570534241</v>
      </c>
      <c r="U5" s="22">
        <v>387044.69</v>
      </c>
      <c r="V5" s="23">
        <v>2211.5459999999998</v>
      </c>
      <c r="W5" s="24">
        <f t="shared" si="5"/>
        <v>175.01091544105347</v>
      </c>
      <c r="X5" s="22">
        <v>125637.45</v>
      </c>
      <c r="Y5" s="23">
        <v>273.77359999999999</v>
      </c>
      <c r="Z5" s="24">
        <f t="shared" si="6"/>
        <v>458.91002638676628</v>
      </c>
      <c r="AA5" s="22">
        <v>131932.04</v>
      </c>
      <c r="AB5" s="23">
        <v>287.49</v>
      </c>
      <c r="AC5" s="24">
        <f t="shared" si="7"/>
        <v>458.91001426136563</v>
      </c>
      <c r="AD5" s="30">
        <f t="shared" si="8"/>
        <v>1170464.75</v>
      </c>
      <c r="AE5" s="30">
        <f t="shared" si="9"/>
        <v>1111941.5125</v>
      </c>
      <c r="AG5" s="19" t="e">
        <f>AE5-#REF!</f>
        <v>#REF!</v>
      </c>
      <c r="AI5" s="19"/>
    </row>
    <row r="6" spans="1:35" ht="17.25" customHeight="1">
      <c r="C6" s="50">
        <v>43525</v>
      </c>
      <c r="D6" s="44">
        <v>10.53</v>
      </c>
      <c r="E6" s="5">
        <v>10.583</v>
      </c>
      <c r="F6" s="5"/>
      <c r="G6" s="12">
        <v>19633.447</v>
      </c>
      <c r="H6" s="12">
        <f t="shared" si="0"/>
        <v>1864.5248812915481</v>
      </c>
      <c r="I6" s="13">
        <v>879578.43</v>
      </c>
      <c r="J6" s="13">
        <f>52261.81+2155.34+1730.9</f>
        <v>56148.049999999996</v>
      </c>
      <c r="K6" s="13">
        <v>7835.71</v>
      </c>
      <c r="L6" s="13">
        <f t="shared" si="1"/>
        <v>471.74400235985053</v>
      </c>
      <c r="M6" s="13">
        <f t="shared" si="2"/>
        <v>30.11386469731983</v>
      </c>
      <c r="N6" s="13">
        <f t="shared" si="3"/>
        <v>4.2025236984621186</v>
      </c>
      <c r="O6" s="14">
        <f t="shared" si="10"/>
        <v>506.06039075563251</v>
      </c>
      <c r="P6" s="43">
        <f>2074.2+4619</f>
        <v>6693.2</v>
      </c>
      <c r="Q6" s="1">
        <v>171.28</v>
      </c>
      <c r="R6" s="22">
        <v>543273.62</v>
      </c>
      <c r="S6" s="23">
        <v>3254.3040000000001</v>
      </c>
      <c r="T6" s="24">
        <f t="shared" si="4"/>
        <v>166.94003387513888</v>
      </c>
      <c r="U6" s="22">
        <v>461105.38</v>
      </c>
      <c r="V6" s="23">
        <v>2704.6260000000007</v>
      </c>
      <c r="W6" s="24">
        <f t="shared" si="5"/>
        <v>170.48766816557998</v>
      </c>
      <c r="X6" s="22">
        <v>140448.83000000002</v>
      </c>
      <c r="Y6" s="23">
        <v>305.68239999999997</v>
      </c>
      <c r="Z6" s="24">
        <f t="shared" si="6"/>
        <v>459.45998199438378</v>
      </c>
      <c r="AA6" s="22">
        <v>149270.28</v>
      </c>
      <c r="AB6" s="23">
        <v>324.88200000000001</v>
      </c>
      <c r="AC6" s="24">
        <f t="shared" si="7"/>
        <v>459.45998854968877</v>
      </c>
      <c r="AD6" s="30">
        <f t="shared" si="8"/>
        <v>1294098.1100000001</v>
      </c>
      <c r="AE6" s="30">
        <f t="shared" si="9"/>
        <v>1229393.2045</v>
      </c>
      <c r="AG6" s="19" t="e">
        <f>AE6-#REF!</f>
        <v>#REF!</v>
      </c>
      <c r="AI6" s="19"/>
    </row>
    <row r="7" spans="1:35" ht="17.25" customHeight="1">
      <c r="C7" s="50">
        <v>43556</v>
      </c>
      <c r="D7" s="44">
        <v>10.545</v>
      </c>
      <c r="E7" s="6"/>
      <c r="F7" s="5">
        <v>10.54</v>
      </c>
      <c r="G7" s="12">
        <v>16800.682000000001</v>
      </c>
      <c r="H7" s="12">
        <f t="shared" si="0"/>
        <v>1593.2367946894262</v>
      </c>
      <c r="I7" s="13">
        <v>758886.81</v>
      </c>
      <c r="J7" s="13">
        <f>21924.25+5742.07+2885.34</f>
        <v>30551.66</v>
      </c>
      <c r="K7" s="13">
        <v>6705.15</v>
      </c>
      <c r="L7" s="13">
        <f t="shared" si="1"/>
        <v>476.31765254827161</v>
      </c>
      <c r="M7" s="13">
        <f t="shared" si="2"/>
        <v>19.175843855624432</v>
      </c>
      <c r="N7" s="13">
        <f t="shared" si="3"/>
        <v>4.2085081278248104</v>
      </c>
      <c r="O7" s="14">
        <f t="shared" si="10"/>
        <v>499.70200453172083</v>
      </c>
      <c r="P7" s="43">
        <f>331.15+4624.09</f>
        <v>4955.24</v>
      </c>
      <c r="Q7" s="1">
        <v>171.28</v>
      </c>
      <c r="R7" s="22">
        <v>567534.36</v>
      </c>
      <c r="S7" s="23">
        <v>3159.0239999999999</v>
      </c>
      <c r="T7" s="24">
        <f t="shared" si="4"/>
        <v>179.65496938294865</v>
      </c>
      <c r="U7" s="22">
        <v>448895.2</v>
      </c>
      <c r="V7" s="23">
        <v>2625.5459999999998</v>
      </c>
      <c r="W7" s="24">
        <f t="shared" si="5"/>
        <v>170.9721330344241</v>
      </c>
      <c r="X7" s="22">
        <v>135626.53</v>
      </c>
      <c r="Y7" s="23">
        <v>295.28320000000002</v>
      </c>
      <c r="Z7" s="24">
        <f t="shared" si="6"/>
        <v>459.31001154146253</v>
      </c>
      <c r="AA7" s="22">
        <v>145892.47</v>
      </c>
      <c r="AB7" s="23">
        <v>317.63400000000001</v>
      </c>
      <c r="AC7" s="24">
        <f t="shared" si="7"/>
        <v>459.30999200337493</v>
      </c>
      <c r="AD7" s="30">
        <f t="shared" si="8"/>
        <v>1297948.56</v>
      </c>
      <c r="AE7" s="30">
        <f t="shared" si="9"/>
        <v>1233051.132</v>
      </c>
      <c r="AG7" s="19" t="e">
        <f>AE7-#REF!</f>
        <v>#REF!</v>
      </c>
      <c r="AI7" s="19"/>
    </row>
    <row r="8" spans="1:35" ht="17.25" customHeight="1">
      <c r="B8" s="45"/>
      <c r="C8" s="50">
        <v>43586</v>
      </c>
      <c r="D8" s="44">
        <v>10.567</v>
      </c>
      <c r="E8" s="6"/>
      <c r="F8" s="5"/>
      <c r="G8" s="12">
        <f>10175.436+ 2383.36</f>
        <v>12558.796</v>
      </c>
      <c r="H8" s="12">
        <f t="shared" si="0"/>
        <v>1188.4920980410714</v>
      </c>
      <c r="I8" s="13">
        <f>459624.44+44241.12+53828.19</f>
        <v>557693.75</v>
      </c>
      <c r="J8" s="13">
        <f>16077.77+821.88+3030.38+ 6788.83+53.49</f>
        <v>26772.350000000002</v>
      </c>
      <c r="K8" s="13">
        <f>4061.02+951.2</f>
        <v>5012.22</v>
      </c>
      <c r="L8" s="13">
        <f t="shared" si="1"/>
        <v>469.24481106707998</v>
      </c>
      <c r="M8" s="13">
        <f t="shared" si="2"/>
        <v>22.526317208273788</v>
      </c>
      <c r="N8" s="13">
        <f t="shared" si="3"/>
        <v>4.2172935001094052</v>
      </c>
      <c r="O8" s="14">
        <f t="shared" si="10"/>
        <v>495.98842177546317</v>
      </c>
      <c r="P8" s="43">
        <f>448.66+2322.82</f>
        <v>2771.48</v>
      </c>
      <c r="Q8" s="1">
        <v>171.28</v>
      </c>
      <c r="R8" s="22">
        <v>593925.52</v>
      </c>
      <c r="S8" s="23">
        <v>3293.364</v>
      </c>
      <c r="T8" s="24">
        <f t="shared" si="4"/>
        <v>180.34007780494352</v>
      </c>
      <c r="U8" s="22">
        <v>165101.06</v>
      </c>
      <c r="V8" s="23">
        <v>923.94000000000017</v>
      </c>
      <c r="W8" s="24">
        <f t="shared" si="5"/>
        <v>178.69240426867543</v>
      </c>
      <c r="X8" s="22">
        <v>100737.79</v>
      </c>
      <c r="Y8" s="23">
        <v>219.56319999999999</v>
      </c>
      <c r="Z8" s="24">
        <f t="shared" si="6"/>
        <v>458.80999183834081</v>
      </c>
      <c r="AA8" s="22">
        <v>148903.57</v>
      </c>
      <c r="AB8" s="23">
        <v>324.54300000000001</v>
      </c>
      <c r="AC8" s="24">
        <f t="shared" si="7"/>
        <v>458.80998819879034</v>
      </c>
      <c r="AD8" s="30">
        <f t="shared" si="8"/>
        <v>1008667.9400000002</v>
      </c>
      <c r="AE8" s="30">
        <f t="shared" si="9"/>
        <v>958234.54300000018</v>
      </c>
      <c r="AG8" s="19" t="e">
        <f>AE8-#REF!</f>
        <v>#REF!</v>
      </c>
      <c r="AI8" s="19"/>
    </row>
    <row r="9" spans="1:35" ht="17.25" customHeight="1">
      <c r="C9" s="50">
        <v>43617</v>
      </c>
      <c r="D9" s="44">
        <v>10.58</v>
      </c>
      <c r="E9" s="6"/>
      <c r="F9" s="5"/>
      <c r="G9" s="12">
        <v>4288.0010000000002</v>
      </c>
      <c r="H9" s="12">
        <f t="shared" si="0"/>
        <v>405.29310018903595</v>
      </c>
      <c r="I9" s="13">
        <v>193689.01</v>
      </c>
      <c r="J9" s="13">
        <f>4384.85+5934.38</f>
        <v>10319.23</v>
      </c>
      <c r="K9" s="13">
        <v>1711.34</v>
      </c>
      <c r="L9" s="13">
        <f t="shared" si="1"/>
        <v>477.89861191730131</v>
      </c>
      <c r="M9" s="13">
        <f t="shared" si="2"/>
        <v>25.461153903648807</v>
      </c>
      <c r="N9" s="13">
        <f t="shared" si="3"/>
        <v>4.2224750414004095</v>
      </c>
      <c r="O9" s="14">
        <f t="shared" si="10"/>
        <v>507.58224086235049</v>
      </c>
      <c r="P9" s="43">
        <v>1322.75</v>
      </c>
      <c r="Q9" s="1">
        <v>171.28</v>
      </c>
      <c r="R9" s="22">
        <v>100666.17</v>
      </c>
      <c r="S9" s="23">
        <v>756.78599999999994</v>
      </c>
      <c r="T9" s="24">
        <f t="shared" si="4"/>
        <v>133.01801301821124</v>
      </c>
      <c r="U9" s="22">
        <v>83931.57</v>
      </c>
      <c r="V9" s="23">
        <v>486.37799999999999</v>
      </c>
      <c r="W9" s="24">
        <f t="shared" si="5"/>
        <v>172.56448688057438</v>
      </c>
      <c r="X9" s="22">
        <v>0</v>
      </c>
      <c r="Y9" s="23">
        <v>0</v>
      </c>
      <c r="Z9" s="24"/>
      <c r="AA9" s="22">
        <v>112958.51</v>
      </c>
      <c r="AB9" s="23">
        <v>247.602</v>
      </c>
      <c r="AC9" s="24">
        <f t="shared" si="7"/>
        <v>456.21000638120853</v>
      </c>
      <c r="AD9" s="30">
        <f t="shared" si="8"/>
        <v>297556.25</v>
      </c>
      <c r="AE9" s="30">
        <f t="shared" si="9"/>
        <v>282678.4375</v>
      </c>
      <c r="AG9" s="19" t="e">
        <f>AE9-#REF!</f>
        <v>#REF!</v>
      </c>
      <c r="AI9" s="19"/>
    </row>
    <row r="10" spans="1:35" ht="17.25" customHeight="1" thickBot="1">
      <c r="C10" s="50">
        <v>43647</v>
      </c>
      <c r="D10" s="44">
        <v>10.615</v>
      </c>
      <c r="E10" s="6"/>
      <c r="F10" s="5"/>
      <c r="G10" s="12">
        <v>5005.3029999999999</v>
      </c>
      <c r="H10" s="12">
        <f t="shared" si="0"/>
        <v>471.53113518605744</v>
      </c>
      <c r="I10" s="13">
        <v>224738.1</v>
      </c>
      <c r="J10" s="13">
        <f>7308.09+664.94+2472.66</f>
        <v>10445.69</v>
      </c>
      <c r="K10" s="13">
        <f>1997.62</f>
        <v>1997.62</v>
      </c>
      <c r="L10" s="13">
        <f t="shared" si="1"/>
        <v>476.61349003247159</v>
      </c>
      <c r="M10" s="13">
        <f t="shared" si="2"/>
        <v>22.152704711383109</v>
      </c>
      <c r="N10" s="13">
        <f t="shared" si="3"/>
        <v>4.2364540768061394</v>
      </c>
      <c r="O10" s="14">
        <f t="shared" si="10"/>
        <v>503.00264882066085</v>
      </c>
      <c r="P10" s="43">
        <f>737.13+280.52</f>
        <v>1017.65</v>
      </c>
      <c r="R10" s="25">
        <v>95535.1</v>
      </c>
      <c r="S10" s="26">
        <v>466.85399999999998</v>
      </c>
      <c r="T10" s="27">
        <f t="shared" si="4"/>
        <v>204.63592472164748</v>
      </c>
      <c r="U10" s="25">
        <v>124390.04</v>
      </c>
      <c r="V10" s="26">
        <v>587.33399999999995</v>
      </c>
      <c r="W10" s="27">
        <f t="shared" si="5"/>
        <v>211.78756891308865</v>
      </c>
      <c r="X10" s="25">
        <v>121522.26000000001</v>
      </c>
      <c r="Y10" s="26">
        <v>265.3904</v>
      </c>
      <c r="Z10" s="27">
        <f t="shared" si="6"/>
        <v>457.89998432497941</v>
      </c>
      <c r="AA10" s="25">
        <v>139361.87</v>
      </c>
      <c r="AB10" s="26">
        <v>304.35000000000002</v>
      </c>
      <c r="AC10" s="27">
        <f t="shared" si="7"/>
        <v>457.90001642845402</v>
      </c>
      <c r="AD10" s="31">
        <f t="shared" si="8"/>
        <v>480809.27</v>
      </c>
      <c r="AE10" s="31">
        <f t="shared" si="9"/>
        <v>456768.80650000001</v>
      </c>
      <c r="AG10" s="19" t="e">
        <f>AE10-#REF!</f>
        <v>#REF!</v>
      </c>
    </row>
    <row r="11" spans="1:35" ht="17.25" customHeight="1" thickBot="1">
      <c r="C11" s="50">
        <v>43678</v>
      </c>
      <c r="D11" s="44">
        <v>10.64</v>
      </c>
      <c r="E11" s="6"/>
      <c r="F11" s="5"/>
      <c r="G11" s="12">
        <v>7171.6379999999999</v>
      </c>
      <c r="H11" s="12">
        <f t="shared" si="0"/>
        <v>674.02612781954883</v>
      </c>
      <c r="I11" s="13">
        <v>322006.55</v>
      </c>
      <c r="J11" s="13">
        <f xml:space="preserve"> 10231.32+1446.52</f>
        <v>11677.84</v>
      </c>
      <c r="K11" s="13">
        <v>2862.2</v>
      </c>
      <c r="L11" s="13">
        <f t="shared" si="1"/>
        <v>477.73600563776364</v>
      </c>
      <c r="M11" s="13">
        <f t="shared" si="2"/>
        <v>17.325500478412327</v>
      </c>
      <c r="N11" s="13">
        <f t="shared" si="3"/>
        <v>4.2464229231871435</v>
      </c>
      <c r="O11" s="14">
        <f t="shared" si="10"/>
        <v>499.3079290393631</v>
      </c>
      <c r="P11" s="43">
        <v>438.24</v>
      </c>
      <c r="R11" s="35">
        <v>251362.53</v>
      </c>
      <c r="S11" s="36">
        <v>1214.2139999999999</v>
      </c>
      <c r="T11" s="37">
        <f t="shared" si="4"/>
        <v>207.01666263113424</v>
      </c>
      <c r="U11" s="35">
        <v>119644.51999999999</v>
      </c>
      <c r="V11" s="36">
        <v>584.59799999999996</v>
      </c>
      <c r="W11" s="38">
        <f t="shared" si="5"/>
        <v>204.66118597737247</v>
      </c>
      <c r="X11" s="39">
        <v>111599.12</v>
      </c>
      <c r="Y11" s="39"/>
      <c r="Z11" s="39"/>
      <c r="AA11" s="39">
        <v>142513.11000000002</v>
      </c>
      <c r="AB11" s="39"/>
      <c r="AC11" s="39"/>
      <c r="AD11" s="40">
        <f t="shared" si="8"/>
        <v>625119.28</v>
      </c>
      <c r="AE11" s="40">
        <f t="shared" si="9"/>
        <v>593863.31599999999</v>
      </c>
      <c r="AG11" s="19" t="e">
        <f>AE11-#REF!</f>
        <v>#REF!</v>
      </c>
      <c r="AI11" s="19" t="e">
        <f>SUM(AG4:AG11)</f>
        <v>#REF!</v>
      </c>
    </row>
    <row r="12" spans="1:35" ht="17.25" customHeight="1">
      <c r="C12" s="50">
        <v>43709</v>
      </c>
      <c r="D12" s="44">
        <v>10.61</v>
      </c>
      <c r="E12" s="6"/>
      <c r="F12" s="5"/>
      <c r="G12" s="12">
        <v>9110.5079999999998</v>
      </c>
      <c r="H12" s="12">
        <f t="shared" si="0"/>
        <v>858.67181903864287</v>
      </c>
      <c r="I12" s="13">
        <v>409061.81</v>
      </c>
      <c r="J12" s="13">
        <f>13154.55+319.42+2719.98</f>
        <v>16193.949999999999</v>
      </c>
      <c r="K12" s="13">
        <v>3636</v>
      </c>
      <c r="L12" s="13">
        <f t="shared" si="1"/>
        <v>476.38900093167138</v>
      </c>
      <c r="M12" s="13">
        <f t="shared" si="2"/>
        <v>18.859300655901951</v>
      </c>
      <c r="N12" s="13">
        <f t="shared" si="3"/>
        <v>4.2344466411752224</v>
      </c>
      <c r="O12" s="14">
        <f t="shared" si="10"/>
        <v>499.48274822874856</v>
      </c>
      <c r="P12" s="43">
        <f>1316.96+321.96</f>
        <v>1638.92</v>
      </c>
      <c r="AG12" s="19"/>
    </row>
    <row r="13" spans="1:35" ht="17.25" customHeight="1">
      <c r="C13" s="50">
        <v>43739</v>
      </c>
      <c r="D13" s="44">
        <v>10.62</v>
      </c>
      <c r="E13" s="6"/>
      <c r="F13" s="5"/>
      <c r="G13" s="12">
        <v>8744.4889999999996</v>
      </c>
      <c r="H13" s="12">
        <f t="shared" si="0"/>
        <v>823.39821092278726</v>
      </c>
      <c r="I13" s="13">
        <v>392190.33</v>
      </c>
      <c r="J13" s="13">
        <f>16971.7+1938.24+8101.6</f>
        <v>27011.54</v>
      </c>
      <c r="K13" s="13">
        <v>4289.17</v>
      </c>
      <c r="L13" s="13">
        <f t="shared" si="1"/>
        <v>476.30699799610932</v>
      </c>
      <c r="M13" s="13">
        <f t="shared" si="2"/>
        <v>32.804953474125242</v>
      </c>
      <c r="N13" s="13">
        <f t="shared" si="3"/>
        <v>5.2091077477483241</v>
      </c>
      <c r="O13" s="14">
        <f t="shared" si="10"/>
        <v>514.32105921798291</v>
      </c>
      <c r="P13" s="41"/>
      <c r="AG13" s="19"/>
    </row>
    <row r="14" spans="1:35" ht="17.25" customHeight="1">
      <c r="C14" s="50">
        <v>43770</v>
      </c>
      <c r="D14" s="44">
        <v>10.605</v>
      </c>
      <c r="E14" s="6"/>
      <c r="F14" s="5"/>
      <c r="G14" s="12">
        <v>8772.616</v>
      </c>
      <c r="H14" s="12">
        <f t="shared" si="0"/>
        <v>827.21508722300803</v>
      </c>
      <c r="I14" s="13">
        <f>393451.83</f>
        <v>393451.83</v>
      </c>
      <c r="J14" s="13">
        <f>32325.34+175.26+498.89</f>
        <v>32999.49</v>
      </c>
      <c r="K14" s="13">
        <v>4302.97</v>
      </c>
      <c r="L14" s="13">
        <f t="shared" si="1"/>
        <v>475.63425290130107</v>
      </c>
      <c r="M14" s="13">
        <f t="shared" si="2"/>
        <v>39.892272892145279</v>
      </c>
      <c r="N14" s="13">
        <f t="shared" si="3"/>
        <v>5.2017547388373098</v>
      </c>
      <c r="O14" s="14">
        <f t="shared" si="10"/>
        <v>520.72828053228363</v>
      </c>
      <c r="P14" s="41"/>
      <c r="AG14" s="19"/>
    </row>
    <row r="15" spans="1:35" ht="17.25" customHeight="1">
      <c r="C15" s="50">
        <v>43800</v>
      </c>
      <c r="D15" s="44">
        <v>10.585000000000001</v>
      </c>
      <c r="E15" s="6"/>
      <c r="F15" s="5"/>
      <c r="G15" s="12">
        <v>19259.428</v>
      </c>
      <c r="H15" s="12">
        <f>G15/D15</f>
        <v>1819.5019367028813</v>
      </c>
      <c r="I15" s="13">
        <v>863785.35</v>
      </c>
      <c r="J15" s="13">
        <f>47213.1+1567.44+4448.52</f>
        <v>53229.06</v>
      </c>
      <c r="K15" s="13">
        <v>9446.75</v>
      </c>
      <c r="L15" s="13">
        <f t="shared" si="1"/>
        <v>474.73725230832406</v>
      </c>
      <c r="M15" s="13">
        <f t="shared" si="2"/>
        <v>29.254742150182238</v>
      </c>
      <c r="N15" s="13">
        <f t="shared" si="3"/>
        <v>5.1919428110741404</v>
      </c>
      <c r="O15" s="14">
        <f t="shared" si="10"/>
        <v>509.18393726958038</v>
      </c>
      <c r="P15" s="41"/>
      <c r="AG15" s="19"/>
    </row>
    <row r="16" spans="1:35" ht="17.25" customHeight="1">
      <c r="C16" s="50">
        <v>43831</v>
      </c>
      <c r="D16" s="44">
        <v>10.58</v>
      </c>
      <c r="E16" s="6"/>
      <c r="F16" s="5"/>
      <c r="G16" s="12">
        <f>14691.121+9122.006</f>
        <v>23813.127</v>
      </c>
      <c r="H16" s="12">
        <f>G16/D16</f>
        <v>2250.768147448015</v>
      </c>
      <c r="I16" s="13">
        <f>646996.97+310018.1+77400.31-2271.1</f>
        <v>1032144.2799999999</v>
      </c>
      <c r="J16" s="13">
        <f>1264.15+6768.19+45847.72+15988.52+814.42</f>
        <v>70683</v>
      </c>
      <c r="K16" s="13">
        <f>7205.99+2864.31</f>
        <v>10070.299999999999</v>
      </c>
      <c r="L16" s="13">
        <f t="shared" si="1"/>
        <v>458.57423438761316</v>
      </c>
      <c r="M16" s="13">
        <f t="shared" si="2"/>
        <v>31.403945395327543</v>
      </c>
      <c r="N16" s="13">
        <f t="shared" si="3"/>
        <v>4.4741614152563836</v>
      </c>
      <c r="O16" s="14">
        <f t="shared" si="10"/>
        <v>494.45234119819708</v>
      </c>
      <c r="P16" s="41"/>
      <c r="AG16" s="19"/>
    </row>
    <row r="17" spans="1:33" ht="17.25" customHeight="1">
      <c r="C17" s="50">
        <v>43862</v>
      </c>
      <c r="D17" s="44">
        <v>10.54</v>
      </c>
      <c r="E17" s="6"/>
      <c r="F17" s="5"/>
      <c r="G17" s="12">
        <v>21545.65</v>
      </c>
      <c r="H17" s="12">
        <f>G17/D17</f>
        <v>2044.1793168880458</v>
      </c>
      <c r="I17" s="13">
        <f>868992.78+76796.64</f>
        <v>945789.42</v>
      </c>
      <c r="J17" s="13">
        <f>6477.67+502.04+26606.58+3799.39+7381.41</f>
        <v>44767.09</v>
      </c>
      <c r="K17" s="13">
        <v>6765.33</v>
      </c>
      <c r="L17" s="13">
        <f t="shared" si="1"/>
        <v>462.67439073780548</v>
      </c>
      <c r="M17" s="13">
        <f t="shared" si="2"/>
        <v>21.899786202783389</v>
      </c>
      <c r="N17" s="13">
        <f t="shared" si="3"/>
        <v>3.3095579943051145</v>
      </c>
      <c r="O17" s="14">
        <f t="shared" si="10"/>
        <v>487.88373493489399</v>
      </c>
      <c r="P17" s="41"/>
      <c r="AG17" s="19"/>
    </row>
    <row r="18" spans="1:33">
      <c r="C18" s="7"/>
      <c r="D18" s="9"/>
      <c r="E18" s="10"/>
      <c r="F18" s="8"/>
      <c r="R18" s="33"/>
    </row>
    <row r="19" spans="1:33" ht="42.75" customHeight="1">
      <c r="A19" s="48" t="s">
        <v>2</v>
      </c>
      <c r="B19" s="48"/>
      <c r="C19" s="48"/>
      <c r="D19" s="48"/>
      <c r="E19" s="48"/>
      <c r="F19" s="48"/>
      <c r="G19" s="48"/>
      <c r="H19" s="48"/>
      <c r="I19" s="48"/>
      <c r="J19" s="48"/>
      <c r="K19" s="48"/>
      <c r="L19" s="48"/>
      <c r="M19" s="48"/>
      <c r="N19" s="48"/>
      <c r="O19" s="48"/>
      <c r="R19" s="33"/>
    </row>
    <row r="20" spans="1:33">
      <c r="A20" s="15"/>
      <c r="B20" s="16"/>
      <c r="C20" s="15"/>
      <c r="D20" s="15"/>
      <c r="E20" s="15"/>
      <c r="F20" s="15"/>
      <c r="G20" s="17"/>
      <c r="H20" s="17"/>
      <c r="I20" s="17"/>
      <c r="J20" s="17"/>
      <c r="K20" s="17"/>
      <c r="L20" s="17"/>
      <c r="M20" s="17"/>
      <c r="N20" s="17"/>
      <c r="O20" s="17"/>
      <c r="R20" s="33"/>
    </row>
    <row r="21" spans="1:33" ht="32.25" customHeight="1">
      <c r="A21" s="49" t="s">
        <v>7</v>
      </c>
      <c r="B21" s="49"/>
      <c r="C21" s="49"/>
      <c r="D21" s="49"/>
      <c r="E21" s="49"/>
      <c r="F21" s="49"/>
      <c r="G21" s="49"/>
      <c r="H21" s="49"/>
      <c r="I21" s="49"/>
      <c r="J21" s="49"/>
      <c r="K21" s="49"/>
      <c r="L21" s="49"/>
      <c r="M21" s="49"/>
      <c r="N21" s="49"/>
      <c r="O21" s="49"/>
      <c r="R21" s="33"/>
      <c r="T21" s="19"/>
    </row>
    <row r="22" spans="1:33">
      <c r="A22" s="15"/>
      <c r="B22" s="15"/>
      <c r="C22" s="15"/>
      <c r="D22" s="15"/>
      <c r="E22" s="15"/>
      <c r="F22" s="15"/>
      <c r="G22" s="17"/>
      <c r="H22" s="17"/>
      <c r="I22" s="17"/>
      <c r="J22" s="17"/>
      <c r="K22" s="17"/>
      <c r="L22" s="17"/>
      <c r="M22" s="17"/>
      <c r="N22" s="17"/>
      <c r="O22" s="17"/>
      <c r="R22" s="33"/>
    </row>
    <row r="23" spans="1:33" ht="93.75" customHeight="1">
      <c r="A23" s="49" t="s">
        <v>4</v>
      </c>
      <c r="B23" s="49"/>
      <c r="C23" s="49"/>
      <c r="D23" s="49"/>
      <c r="E23" s="49"/>
      <c r="F23" s="49"/>
      <c r="G23" s="49"/>
      <c r="H23" s="49"/>
      <c r="I23" s="49"/>
      <c r="J23" s="49"/>
      <c r="K23" s="49"/>
      <c r="L23" s="49"/>
      <c r="M23" s="49"/>
      <c r="N23" s="49"/>
      <c r="O23" s="49"/>
      <c r="R23" s="33"/>
    </row>
    <row r="24" spans="1:33">
      <c r="A24" s="15"/>
      <c r="B24" s="15"/>
      <c r="C24" s="15"/>
      <c r="D24" s="15"/>
      <c r="E24" s="15"/>
      <c r="F24" s="15"/>
      <c r="G24" s="17"/>
      <c r="H24" s="17"/>
      <c r="I24" s="17"/>
      <c r="J24" s="17"/>
      <c r="K24" s="17"/>
      <c r="L24" s="17"/>
      <c r="M24" s="17"/>
      <c r="N24" s="17"/>
      <c r="O24" s="17"/>
      <c r="R24" s="33"/>
    </row>
    <row r="25" spans="1:33" ht="33.75" customHeight="1">
      <c r="A25" s="49" t="s">
        <v>6</v>
      </c>
      <c r="B25" s="49"/>
      <c r="C25" s="49"/>
      <c r="D25" s="49"/>
      <c r="E25" s="49"/>
      <c r="F25" s="49"/>
      <c r="G25" s="49"/>
      <c r="H25" s="49"/>
      <c r="I25" s="49"/>
      <c r="J25" s="49"/>
      <c r="K25" s="49"/>
      <c r="L25" s="49"/>
      <c r="M25" s="49"/>
      <c r="N25" s="49"/>
      <c r="O25" s="49"/>
      <c r="R25" s="33"/>
      <c r="T25" s="19"/>
    </row>
    <row r="26" spans="1:33">
      <c r="R26" s="33"/>
    </row>
    <row r="27" spans="1:33">
      <c r="R27" s="33"/>
    </row>
    <row r="28" spans="1:33">
      <c r="C28" s="18" t="s">
        <v>28</v>
      </c>
      <c r="D28" s="46">
        <f>AVERAGE(D4:D15)</f>
        <v>10.582833333333333</v>
      </c>
    </row>
    <row r="29" spans="1:33">
      <c r="P29" s="19"/>
      <c r="Q29" s="19"/>
      <c r="R29" s="34"/>
      <c r="S29" s="19"/>
      <c r="T29" s="19"/>
      <c r="X29" s="19"/>
    </row>
  </sheetData>
  <mergeCells count="5">
    <mergeCell ref="A1:F1"/>
    <mergeCell ref="A19:O19"/>
    <mergeCell ref="A21:O21"/>
    <mergeCell ref="A23:O23"/>
    <mergeCell ref="A25:O25"/>
  </mergeCells>
  <pageMargins left="0.70866141732283472" right="0.70866141732283472" top="0.74803149606299213" bottom="0.74803149606299213" header="0.31496062992125984" footer="0.31496062992125984"/>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2017-11-01T08:50:42Z</dcterms:created>
  <dcterms:modified xsi:type="dcterms:W3CDTF">2020-03-11T09:11:38Z</dcterms:modified>
</cp:coreProperties>
</file>