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Pp-vratza\docs\Справки централи\ЦЕНИ 2018\КЕВР\Приложения\"/>
    </mc:Choice>
  </mc:AlternateContent>
  <bookViews>
    <workbookView xWindow="0" yWindow="0" windowWidth="20730" windowHeight="11685" activeTab="1"/>
  </bookViews>
  <sheets>
    <sheet name="Sheet1" sheetId="25" r:id="rId1"/>
    <sheet name="Sheet2" sheetId="26" r:id="rId2"/>
    <sheet name="Sheet3" sheetId="27" r:id="rId3"/>
    <sheet name="Sheet7" sheetId="31" r:id="rId4"/>
  </sheets>
  <calcPr calcId="162913"/>
</workbook>
</file>

<file path=xl/calcChain.xml><?xml version="1.0" encoding="utf-8"?>
<calcChain xmlns="http://schemas.openxmlformats.org/spreadsheetml/2006/main">
  <c r="J17" i="26" l="1"/>
  <c r="L17" i="26"/>
  <c r="J11" i="26" l="1"/>
  <c r="H30" i="27" l="1"/>
  <c r="I30" i="27" s="1"/>
  <c r="E11" i="26"/>
  <c r="E24" i="26" s="1"/>
  <c r="F11" i="26"/>
  <c r="F24" i="26" s="1"/>
  <c r="G11" i="26"/>
  <c r="G18" i="26" s="1"/>
  <c r="G19" i="26" s="1"/>
  <c r="H11" i="26"/>
  <c r="H18" i="26" s="1"/>
  <c r="I11" i="26"/>
  <c r="I24" i="26" s="1"/>
  <c r="J24" i="26"/>
  <c r="K11" i="26"/>
  <c r="K24" i="26" s="1"/>
  <c r="L11" i="26"/>
  <c r="L18" i="26" s="1"/>
  <c r="L19" i="26" s="1"/>
  <c r="M11" i="26"/>
  <c r="M24" i="26" s="1"/>
  <c r="N11" i="26"/>
  <c r="N24" i="26" s="1"/>
  <c r="O11" i="26"/>
  <c r="O18" i="26" s="1"/>
  <c r="O19" i="26" s="1"/>
  <c r="P11" i="26"/>
  <c r="P24" i="26" s="1"/>
  <c r="H30" i="26"/>
  <c r="I30" i="26" s="1"/>
  <c r="A22" i="25"/>
  <c r="A21" i="25"/>
  <c r="A20" i="25"/>
  <c r="A19" i="25"/>
  <c r="A18" i="25"/>
  <c r="A17" i="25"/>
  <c r="A16" i="25"/>
  <c r="A14" i="25"/>
  <c r="A13" i="25"/>
  <c r="A31" i="25" s="1"/>
  <c r="A12" i="25"/>
  <c r="A11" i="25"/>
  <c r="A10" i="25"/>
  <c r="Q12" i="27"/>
  <c r="D12" i="27"/>
  <c r="P11" i="27"/>
  <c r="O11" i="27"/>
  <c r="O24" i="27" s="1"/>
  <c r="N11" i="27"/>
  <c r="M11" i="27"/>
  <c r="M24" i="27" s="1"/>
  <c r="L11" i="27"/>
  <c r="L24" i="27"/>
  <c r="K11" i="27"/>
  <c r="K24" i="27" s="1"/>
  <c r="J11" i="27"/>
  <c r="J24" i="27" s="1"/>
  <c r="I11" i="27"/>
  <c r="I24" i="27" s="1"/>
  <c r="H11" i="27"/>
  <c r="G11" i="27"/>
  <c r="G24" i="27" s="1"/>
  <c r="F11" i="27"/>
  <c r="F24" i="27" s="1"/>
  <c r="E11" i="27"/>
  <c r="E24" i="27" s="1"/>
  <c r="P9" i="27"/>
  <c r="O9" i="27"/>
  <c r="N9" i="27"/>
  <c r="M9" i="27"/>
  <c r="L9" i="27"/>
  <c r="K9" i="27"/>
  <c r="J9" i="27"/>
  <c r="I9" i="27"/>
  <c r="H9" i="27"/>
  <c r="G9" i="27"/>
  <c r="F9" i="27"/>
  <c r="E9" i="27"/>
  <c r="Q7" i="27"/>
  <c r="D7" i="27"/>
  <c r="Q8" i="27" s="1"/>
  <c r="P5" i="27"/>
  <c r="M5" i="27"/>
  <c r="J5" i="27"/>
  <c r="G5" i="27"/>
  <c r="P9" i="26"/>
  <c r="O9" i="26"/>
  <c r="N9" i="26"/>
  <c r="M9" i="26"/>
  <c r="L9" i="26"/>
  <c r="K9" i="26"/>
  <c r="J9" i="26"/>
  <c r="I9" i="26"/>
  <c r="H9" i="26"/>
  <c r="G9" i="26"/>
  <c r="F9" i="26"/>
  <c r="E9" i="26"/>
  <c r="E23" i="25"/>
  <c r="E15" i="25"/>
  <c r="A30" i="25"/>
  <c r="P5" i="26"/>
  <c r="M5" i="26"/>
  <c r="J5" i="26"/>
  <c r="G5" i="26"/>
  <c r="E20" i="26"/>
  <c r="J20" i="26"/>
  <c r="A129" i="25"/>
  <c r="A127" i="25"/>
  <c r="A125" i="25"/>
  <c r="A123" i="25"/>
  <c r="A120" i="25"/>
  <c r="A118" i="25"/>
  <c r="A112" i="25"/>
  <c r="A110" i="25"/>
  <c r="A108" i="25"/>
  <c r="A106" i="25"/>
  <c r="A103" i="25"/>
  <c r="A101" i="25"/>
  <c r="A95" i="25"/>
  <c r="A93" i="25"/>
  <c r="A91" i="25"/>
  <c r="A89" i="25"/>
  <c r="A86" i="25"/>
  <c r="A84" i="25"/>
  <c r="A76" i="25"/>
  <c r="A74" i="25"/>
  <c r="A72" i="25"/>
  <c r="A70" i="25"/>
  <c r="A67" i="25"/>
  <c r="A65" i="25"/>
  <c r="A59" i="25"/>
  <c r="A57" i="25"/>
  <c r="A55" i="25"/>
  <c r="A53" i="25"/>
  <c r="A50" i="25"/>
  <c r="A48" i="25"/>
  <c r="A40" i="25"/>
  <c r="A38" i="25"/>
  <c r="A36" i="25"/>
  <c r="A34" i="25"/>
  <c r="D12" i="26"/>
  <c r="Q12" i="26"/>
  <c r="D7" i="26"/>
  <c r="Q8" i="26" s="1"/>
  <c r="Q7" i="26"/>
  <c r="J18" i="27"/>
  <c r="J19" i="27" s="1"/>
  <c r="G18" i="27"/>
  <c r="K18" i="27"/>
  <c r="H18" i="27"/>
  <c r="H19" i="27" s="1"/>
  <c r="L18" i="27"/>
  <c r="P18" i="27"/>
  <c r="I18" i="27"/>
  <c r="M18" i="27"/>
  <c r="N18" i="27"/>
  <c r="O18" i="27"/>
  <c r="O19" i="27" s="1"/>
  <c r="N24" i="27"/>
  <c r="P24" i="27"/>
  <c r="Q10" i="27"/>
  <c r="D26" i="27"/>
  <c r="H24" i="27"/>
  <c r="J18" i="26"/>
  <c r="Q10" i="26"/>
  <c r="D26" i="26"/>
  <c r="D11" i="27" l="1"/>
  <c r="O20" i="26"/>
  <c r="K20" i="26"/>
  <c r="P20" i="26"/>
  <c r="Q9" i="27"/>
  <c r="D10" i="26"/>
  <c r="D8" i="26"/>
  <c r="D10" i="27"/>
  <c r="D8" i="27"/>
  <c r="E18" i="27"/>
  <c r="E19" i="27" s="1"/>
  <c r="D41" i="25"/>
  <c r="F41" i="25"/>
  <c r="M77" i="25"/>
  <c r="M113" i="25"/>
  <c r="H20" i="26"/>
  <c r="C15" i="25"/>
  <c r="A117" i="25"/>
  <c r="C122" i="25" s="1"/>
  <c r="A100" i="25"/>
  <c r="A83" i="25"/>
  <c r="N88" i="25" s="1"/>
  <c r="G23" i="26" s="1"/>
  <c r="A64" i="25"/>
  <c r="A47" i="25"/>
  <c r="A28" i="25"/>
  <c r="A119" i="25"/>
  <c r="A102" i="25"/>
  <c r="A85" i="25"/>
  <c r="A66" i="25"/>
  <c r="A49" i="25"/>
  <c r="A32" i="25"/>
  <c r="A121" i="25"/>
  <c r="A104" i="25"/>
  <c r="A87" i="25"/>
  <c r="A68" i="25"/>
  <c r="A51" i="25"/>
  <c r="C23" i="25"/>
  <c r="A124" i="25"/>
  <c r="C130" i="25" s="1"/>
  <c r="A107" i="25"/>
  <c r="A90" i="25"/>
  <c r="A71" i="25"/>
  <c r="A54" i="25"/>
  <c r="A35" i="25"/>
  <c r="A126" i="25"/>
  <c r="A109" i="25"/>
  <c r="A92" i="25"/>
  <c r="A73" i="25"/>
  <c r="A56" i="25"/>
  <c r="A37" i="25"/>
  <c r="A128" i="25"/>
  <c r="A111" i="25"/>
  <c r="A94" i="25"/>
  <c r="A75" i="25"/>
  <c r="A58" i="25"/>
  <c r="A39" i="25"/>
  <c r="F18" i="27"/>
  <c r="F19" i="27" s="1"/>
  <c r="F15" i="25"/>
  <c r="F23" i="25"/>
  <c r="P20" i="27" s="1"/>
  <c r="P18" i="26"/>
  <c r="P19" i="26" s="1"/>
  <c r="E18" i="26"/>
  <c r="E19" i="26" s="1"/>
  <c r="L24" i="26"/>
  <c r="G24" i="26"/>
  <c r="O24" i="26"/>
  <c r="K18" i="26"/>
  <c r="K19" i="26" s="1"/>
  <c r="F18" i="26"/>
  <c r="F19" i="26" s="1"/>
  <c r="I18" i="26"/>
  <c r="I19" i="26" s="1"/>
  <c r="Q9" i="26"/>
  <c r="N18" i="26"/>
  <c r="N19" i="26" s="1"/>
  <c r="D9" i="26"/>
  <c r="M18" i="26"/>
  <c r="M19" i="26" s="1"/>
  <c r="H19" i="26"/>
  <c r="D11" i="26"/>
  <c r="H24" i="26"/>
  <c r="J19" i="26"/>
  <c r="Q11" i="26"/>
  <c r="N19" i="27"/>
  <c r="G19" i="27"/>
  <c r="I19" i="27"/>
  <c r="K19" i="27"/>
  <c r="M19" i="27"/>
  <c r="L19" i="27"/>
  <c r="P19" i="27"/>
  <c r="D9" i="27"/>
  <c r="Q24" i="27"/>
  <c r="Q11" i="27"/>
  <c r="D24" i="27"/>
  <c r="D29" i="27" s="1"/>
  <c r="I41" i="25"/>
  <c r="H41" i="25"/>
  <c r="N69" i="25"/>
  <c r="F69" i="25"/>
  <c r="H22" i="27" s="1"/>
  <c r="I69" i="25"/>
  <c r="L69" i="25"/>
  <c r="N22" i="27" s="1"/>
  <c r="D69" i="25"/>
  <c r="G69" i="25"/>
  <c r="I22" i="27" s="1"/>
  <c r="G77" i="25"/>
  <c r="N77" i="25"/>
  <c r="F77" i="25"/>
  <c r="I77" i="25"/>
  <c r="L77" i="25"/>
  <c r="D77" i="25"/>
  <c r="J88" i="25"/>
  <c r="M88" i="25"/>
  <c r="E88" i="25"/>
  <c r="H88" i="25"/>
  <c r="K88" i="25"/>
  <c r="C88" i="25"/>
  <c r="N95" i="25"/>
  <c r="I95" i="25"/>
  <c r="D95" i="25"/>
  <c r="N105" i="25"/>
  <c r="J105" i="25"/>
  <c r="F105" i="25"/>
  <c r="M105" i="25"/>
  <c r="O23" i="27" s="1"/>
  <c r="I105" i="25"/>
  <c r="E105" i="25"/>
  <c r="L105" i="25"/>
  <c r="C105" i="25"/>
  <c r="G113" i="25"/>
  <c r="N113" i="25"/>
  <c r="F113" i="25"/>
  <c r="I113" i="25"/>
  <c r="L113" i="25"/>
  <c r="D113" i="25"/>
  <c r="M20" i="26"/>
  <c r="F20" i="26"/>
  <c r="N20" i="26"/>
  <c r="G20" i="26"/>
  <c r="L20" i="26"/>
  <c r="I20" i="26"/>
  <c r="H20" i="27"/>
  <c r="J20" i="27"/>
  <c r="N20" i="27"/>
  <c r="A29" i="25"/>
  <c r="D15" i="25"/>
  <c r="D23" i="25"/>
  <c r="M23" i="26" l="1"/>
  <c r="F23" i="26"/>
  <c r="M59" i="25"/>
  <c r="H59" i="25"/>
  <c r="C59" i="25"/>
  <c r="E59" i="25"/>
  <c r="K59" i="25"/>
  <c r="J59" i="25"/>
  <c r="K95" i="25"/>
  <c r="P23" i="26" s="1"/>
  <c r="E95" i="25"/>
  <c r="J23" i="26" s="1"/>
  <c r="J95" i="25"/>
  <c r="O23" i="26" s="1"/>
  <c r="J52" i="25"/>
  <c r="O22" i="26" s="1"/>
  <c r="K52" i="25"/>
  <c r="P22" i="26" s="1"/>
  <c r="I52" i="25"/>
  <c r="G52" i="25"/>
  <c r="H52" i="25"/>
  <c r="M22" i="26" s="1"/>
  <c r="C52" i="25"/>
  <c r="H22" i="26" s="1"/>
  <c r="N52" i="25"/>
  <c r="M52" i="25"/>
  <c r="F22" i="26" s="1"/>
  <c r="L52" i="25"/>
  <c r="F52" i="25"/>
  <c r="K22" i="26" s="1"/>
  <c r="E52" i="25"/>
  <c r="J22" i="26" s="1"/>
  <c r="D52" i="25"/>
  <c r="I22" i="26" s="1"/>
  <c r="H95" i="25"/>
  <c r="C95" i="25"/>
  <c r="H23" i="26" s="1"/>
  <c r="F59" i="25"/>
  <c r="G59" i="25"/>
  <c r="L59" i="25"/>
  <c r="M20" i="27"/>
  <c r="K20" i="27"/>
  <c r="K23" i="27"/>
  <c r="P23" i="27"/>
  <c r="L95" i="25"/>
  <c r="F95" i="25"/>
  <c r="G95" i="25"/>
  <c r="G88" i="25"/>
  <c r="L23" i="26" s="1"/>
  <c r="D88" i="25"/>
  <c r="I23" i="26" s="1"/>
  <c r="L88" i="25"/>
  <c r="E23" i="26" s="1"/>
  <c r="I88" i="25"/>
  <c r="F88" i="25"/>
  <c r="K23" i="26" s="1"/>
  <c r="F22" i="27"/>
  <c r="K22" i="27"/>
  <c r="P22" i="27"/>
  <c r="L20" i="27"/>
  <c r="G20" i="27"/>
  <c r="I20" i="27"/>
  <c r="O20" i="27"/>
  <c r="E20" i="27"/>
  <c r="F20" i="27"/>
  <c r="G41" i="25"/>
  <c r="E41" i="25"/>
  <c r="J41" i="25"/>
  <c r="J77" i="25"/>
  <c r="K77" i="25"/>
  <c r="E77" i="25"/>
  <c r="J113" i="25"/>
  <c r="L23" i="27" s="1"/>
  <c r="K113" i="25"/>
  <c r="E113" i="25"/>
  <c r="G23" i="27" s="1"/>
  <c r="M69" i="25"/>
  <c r="O22" i="27" s="1"/>
  <c r="H69" i="25"/>
  <c r="C69" i="25"/>
  <c r="J69" i="25"/>
  <c r="L22" i="27" s="1"/>
  <c r="K69" i="25"/>
  <c r="E69" i="25"/>
  <c r="G22" i="27" s="1"/>
  <c r="D105" i="25"/>
  <c r="F23" i="27" s="1"/>
  <c r="G105" i="25"/>
  <c r="I23" i="27" s="1"/>
  <c r="K105" i="25"/>
  <c r="M23" i="27" s="1"/>
  <c r="H105" i="25"/>
  <c r="J23" i="27" s="1"/>
  <c r="H113" i="25"/>
  <c r="C113" i="25"/>
  <c r="E23" i="27" s="1"/>
  <c r="M95" i="25"/>
  <c r="H77" i="25"/>
  <c r="C77" i="25"/>
  <c r="N59" i="25"/>
  <c r="D59" i="25"/>
  <c r="I59" i="25"/>
  <c r="C41" i="25"/>
  <c r="D24" i="26"/>
  <c r="D29" i="26" s="1"/>
  <c r="Q24" i="26"/>
  <c r="Q20" i="26"/>
  <c r="D20" i="26"/>
  <c r="N23" i="27"/>
  <c r="H23" i="27"/>
  <c r="I33" i="25"/>
  <c r="H33" i="25"/>
  <c r="G33" i="25"/>
  <c r="J33" i="25"/>
  <c r="D33" i="25"/>
  <c r="F33" i="25"/>
  <c r="E33" i="25"/>
  <c r="C33" i="25"/>
  <c r="Q20" i="27" l="1"/>
  <c r="D20" i="27"/>
  <c r="O21" i="26"/>
  <c r="O25" i="26" s="1"/>
  <c r="O27" i="26" s="1"/>
  <c r="N21" i="26"/>
  <c r="P21" i="26"/>
  <c r="P25" i="26" s="1"/>
  <c r="P27" i="26" s="1"/>
  <c r="M21" i="26"/>
  <c r="M25" i="26" s="1"/>
  <c r="M27" i="26" s="1"/>
  <c r="L21" i="26"/>
  <c r="K21" i="26"/>
  <c r="K25" i="26" s="1"/>
  <c r="K27" i="26" s="1"/>
  <c r="G21" i="27"/>
  <c r="G25" i="27" s="1"/>
  <c r="G27" i="27" s="1"/>
  <c r="E21" i="27"/>
  <c r="F21" i="27"/>
  <c r="F25" i="27" s="1"/>
  <c r="F27" i="27" s="1"/>
  <c r="M21" i="27"/>
  <c r="K21" i="27"/>
  <c r="K25" i="27" s="1"/>
  <c r="K27" i="27" s="1"/>
  <c r="L21" i="27"/>
  <c r="L25" i="27" s="1"/>
  <c r="L27" i="27" s="1"/>
  <c r="J22" i="27"/>
  <c r="L22" i="26"/>
  <c r="I21" i="26"/>
  <c r="I25" i="26" s="1"/>
  <c r="I27" i="26" s="1"/>
  <c r="H21" i="26"/>
  <c r="H25" i="26" s="1"/>
  <c r="H27" i="26" s="1"/>
  <c r="J21" i="26"/>
  <c r="J25" i="26" s="1"/>
  <c r="J27" i="26" s="1"/>
  <c r="F21" i="26"/>
  <c r="F25" i="26" s="1"/>
  <c r="F27" i="26" s="1"/>
  <c r="E21" i="26"/>
  <c r="G21" i="26"/>
  <c r="O21" i="27"/>
  <c r="O25" i="27" s="1"/>
  <c r="O27" i="27" s="1"/>
  <c r="N21" i="27"/>
  <c r="N25" i="27" s="1"/>
  <c r="N27" i="27" s="1"/>
  <c r="P21" i="27"/>
  <c r="P25" i="27" s="1"/>
  <c r="P27" i="27" s="1"/>
  <c r="I21" i="27"/>
  <c r="I25" i="27" s="1"/>
  <c r="I27" i="27" s="1"/>
  <c r="J21" i="27"/>
  <c r="H21" i="27"/>
  <c r="H25" i="27" s="1"/>
  <c r="H27" i="27" s="1"/>
  <c r="Q23" i="27"/>
  <c r="M22" i="27"/>
  <c r="E22" i="27"/>
  <c r="N23" i="26"/>
  <c r="D23" i="26" s="1"/>
  <c r="E22" i="26"/>
  <c r="G22" i="26"/>
  <c r="N22" i="26"/>
  <c r="D23" i="27"/>
  <c r="Q23" i="26"/>
  <c r="M25" i="27" l="1"/>
  <c r="M27" i="27" s="1"/>
  <c r="G25" i="26"/>
  <c r="G27" i="26" s="1"/>
  <c r="D21" i="27"/>
  <c r="Q21" i="27"/>
  <c r="N25" i="26"/>
  <c r="N27" i="26" s="1"/>
  <c r="Q22" i="26"/>
  <c r="D22" i="26"/>
  <c r="D22" i="27"/>
  <c r="Q22" i="27"/>
  <c r="J25" i="27"/>
  <c r="J27" i="27" s="1"/>
  <c r="Q21" i="26"/>
  <c r="D30" i="26" s="1"/>
  <c r="E25" i="26"/>
  <c r="E27" i="26" s="1"/>
  <c r="D21" i="26"/>
  <c r="L25" i="26"/>
  <c r="L27" i="26" s="1"/>
  <c r="E25" i="27"/>
  <c r="E27" i="27" s="1"/>
  <c r="D25" i="26"/>
  <c r="D27" i="27" l="1"/>
  <c r="G32" i="27"/>
  <c r="D27" i="26"/>
  <c r="G32" i="26"/>
  <c r="D25" i="27"/>
  <c r="D30" i="27"/>
</calcChain>
</file>

<file path=xl/sharedStrings.xml><?xml version="1.0" encoding="utf-8"?>
<sst xmlns="http://schemas.openxmlformats.org/spreadsheetml/2006/main" count="343" uniqueCount="129">
  <si>
    <t>Цена за пренос</t>
  </si>
  <si>
    <t>ОБЩО</t>
  </si>
  <si>
    <t>октомври</t>
  </si>
  <si>
    <t>ноември</t>
  </si>
  <si>
    <t>декември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</si>
  <si>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</si>
  <si>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</si>
  <si>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</si>
  <si>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</si>
  <si>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</si>
  <si>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</si>
  <si>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</si>
  <si>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</si>
  <si>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</si>
  <si>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Твърд годишен продукт</t>
  </si>
  <si>
    <t>Входни точки/зони</t>
  </si>
  <si>
    <t>ГИС Чирен (добив)</t>
  </si>
  <si>
    <t>Изходни точки/зони</t>
  </si>
  <si>
    <t>Изходна зона "България"</t>
  </si>
  <si>
    <t>ГИС Чирен (нагнетяване)</t>
  </si>
  <si>
    <t>Стойност</t>
  </si>
  <si>
    <t>Разход на природен газ</t>
  </si>
  <si>
    <t>Дименсия</t>
  </si>
  <si>
    <t>MWh</t>
  </si>
  <si>
    <t>Календарни дни за месеца</t>
  </si>
  <si>
    <t>дни</t>
  </si>
  <si>
    <t>Заявен годишен капацитетен продукт</t>
  </si>
  <si>
    <t>Заявен тримесечен капацитетен продукт</t>
  </si>
  <si>
    <t>Заявен месечен капацитетен продукт</t>
  </si>
  <si>
    <t>Цена на пр. газ /без ДДС/</t>
  </si>
  <si>
    <t>ОБЩА цена на пр. газ /без ДДС/</t>
  </si>
  <si>
    <t>MWh/ден</t>
  </si>
  <si>
    <t>Осигурен годишен капацитетен продукт</t>
  </si>
  <si>
    <t>Осигурен тримесечен капацитетен продукт</t>
  </si>
  <si>
    <t>Осигурен месечен капацитетен продукт</t>
  </si>
  <si>
    <t>Цена за капацитет и пренос</t>
  </si>
  <si>
    <t>Наименование</t>
  </si>
  <si>
    <t>Среднопретеглена цена на пр.газ /лв. без ДДС/ за ценовия период</t>
  </si>
  <si>
    <t>лева</t>
  </si>
  <si>
    <r>
      <t xml:space="preserve">1 Цени за достъп - </t>
    </r>
    <r>
      <rPr>
        <sz val="8"/>
        <color indexed="8"/>
        <rFont val="Tahoma"/>
        <family val="2"/>
        <charset val="204"/>
      </rPr>
      <t>цената за достъп се начислява на входни и изходни точки/зони на газопреносната система собственост на „Булгартрансгаз" ЕАД на база</t>
    </r>
  </si>
  <si>
    <t>на разпределения капацитет на съответните точки.</t>
  </si>
  <si>
    <t>1.1 Цени за достъп за годишен капацитетен продукт</t>
  </si>
  <si>
    <t>Цена за достъп (лв./МWh/ден/година)</t>
  </si>
  <si>
    <t>Прекъсваем годишен продукт</t>
  </si>
  <si>
    <t>Приведена цена на дневна база за прекъсваем годишен продукт (лв./MWh/ ден)</t>
  </si>
  <si>
    <t>Негру Вода/Кардам</t>
  </si>
  <si>
    <t>Местен Добив</t>
  </si>
  <si>
    <t>Кулата/Сидирокастро</t>
  </si>
  <si>
    <t>Русе/Гюргево</t>
  </si>
  <si>
    <t>Странджа/Малкочлар</t>
  </si>
  <si>
    <t>Кюстендил/Жидилово</t>
  </si>
  <si>
    <t>Негру Вода/Кардам (backhaul)</t>
  </si>
  <si>
    <t>1.2 Цени за достъп за тримесечен капацитетен продукт</t>
  </si>
  <si>
    <t>Цена за достъп (лв./МWh/ден/тримесечие)</t>
  </si>
  <si>
    <t>Твърд продукт</t>
  </si>
  <si>
    <t>Прекъсваем продукт</t>
  </si>
  <si>
    <t>Твърд продукт IV тримесечие 2017 г.</t>
  </si>
  <si>
    <t>Твърд продукт I тримесечие 2018 г.</t>
  </si>
  <si>
    <t>Твърд продукт II тримесечие 2018 г.</t>
  </si>
  <si>
    <t>Твърд продукт III тримесечие 2018 г.</t>
  </si>
  <si>
    <t>Прекъсваем продукт IV тримесечие 2017 г.</t>
  </si>
  <si>
    <t>Прекъсваем продукт I тримесечие 2018 г.</t>
  </si>
  <si>
    <t>Прекъсваем продукт II тримесечие 2018 г.</t>
  </si>
  <si>
    <t>Прекъсваем продукт III тримесечие 2018 г.</t>
  </si>
  <si>
    <t>1.3 Цени за достъп за месечен капацитетен продукт</t>
  </si>
  <si>
    <t>1.3.1 Цени за достъп за месечен твърд капацитетен продукт</t>
  </si>
  <si>
    <t>Цена за достъп (лв./MWh/ден/месец)</t>
  </si>
  <si>
    <t>2017 г.</t>
  </si>
  <si>
    <t>2018 г.</t>
  </si>
  <si>
    <t>ГИС Чирен (нагнетява­не)</t>
  </si>
  <si>
    <t>1.3.2 Цени за достъп за месечен прекъсваем капацитетен продукт</t>
  </si>
  <si>
    <t>1.4 Цени за достъп за дневен капацитетен продукт и капацитетен продукт "в рамките на деня"</t>
  </si>
  <si>
    <t>1.4.1 Цени за твърд дневен капацитетен продукт и твърд капацитетен продукт "в рамките на деня"</t>
  </si>
  <si>
    <t>Цена за достъп (лв./MWh/ден)</t>
  </si>
  <si>
    <t xml:space="preserve">2018 г.                                                        </t>
  </si>
  <si>
    <t>Изходна зона "Бългрия"</t>
  </si>
  <si>
    <t>1.4.2 Цени за прекъсваем дневен капацитетен продукт и прекъсваем капацитетен продукт "в рамките на деня"</t>
  </si>
  <si>
    <t>1.5 Цени при превишен капацитет</t>
  </si>
  <si>
    <t>превишен капацитет</t>
  </si>
  <si>
    <t xml:space="preserve"> * цената за превишен капацитет се начислява за дневното разпределено количество природен газ на входни и изходни точки на газопреносната система </t>
  </si>
  <si>
    <t>превишаващо сумарния резервиран на съответните точки капацитет.</t>
  </si>
  <si>
    <t>2. Цени за пренос</t>
  </si>
  <si>
    <t>Цена за пренос (лв./MWh)</t>
  </si>
  <si>
    <t>Компонента пренос *</t>
  </si>
  <si>
    <t>Технологична компонента **</t>
  </si>
  <si>
    <t>Компонента задължение към обществото ***</t>
  </si>
  <si>
    <t xml:space="preserve">* компонентата за пренос, се начислява на всички входни и изходни точки/зони на газопреносната система в зависимост от </t>
  </si>
  <si>
    <t>разпределените обеми природен газ на тези точки/зони.</t>
  </si>
  <si>
    <t>** технологична компонента на цената за пренос, се начислява на всички входни и изходни точки/зони на газопреносната система в зависимост от</t>
  </si>
  <si>
    <t xml:space="preserve"> разпределените обеми природен газ на тези точки/зони.</t>
  </si>
  <si>
    <t xml:space="preserve">*** компонентата за покриване на разходи свързани с наложени задължения към обществото се начислява на всички национални изходни точки/зони на </t>
  </si>
  <si>
    <t>газопреносната система без изходни точки към съоръжения за съхранение на природен газ, в зависимост от разпределените обеми природен газ на тези точки/зони.</t>
  </si>
  <si>
    <t>ноем.18</t>
  </si>
  <si>
    <t>Превишен заявен капацитет</t>
  </si>
  <si>
    <t>%</t>
  </si>
  <si>
    <t>1/0</t>
  </si>
  <si>
    <t xml:space="preserve">2018 г.                                                             </t>
  </si>
  <si>
    <t xml:space="preserve">Входни точки/зони    </t>
  </si>
  <si>
    <t xml:space="preserve">Изходни точки/зони   </t>
  </si>
  <si>
    <t xml:space="preserve">Входни точки/зони     </t>
  </si>
  <si>
    <t xml:space="preserve">Изходни точки/зони    </t>
  </si>
  <si>
    <t>Долна работна калоричност</t>
  </si>
  <si>
    <t>Горна работна калоричност</t>
  </si>
  <si>
    <r>
      <t>kcal/nm</t>
    </r>
    <r>
      <rPr>
        <vertAlign val="superscript"/>
        <sz val="10"/>
        <rFont val="Calibri"/>
        <family val="2"/>
        <charset val="204"/>
      </rPr>
      <t>3</t>
    </r>
  </si>
  <si>
    <r>
      <t>knm</t>
    </r>
    <r>
      <rPr>
        <vertAlign val="superscript"/>
        <sz val="11"/>
        <color indexed="8"/>
        <rFont val="Calibri"/>
        <family val="2"/>
        <charset val="204"/>
      </rPr>
      <t>3</t>
    </r>
  </si>
  <si>
    <t>брой дни</t>
  </si>
  <si>
    <t xml:space="preserve">Осигурен дневен капацитетен продукт </t>
  </si>
  <si>
    <t xml:space="preserve">Заявен дневен капацитетен продукт </t>
  </si>
  <si>
    <t>0-31</t>
  </si>
  <si>
    <r>
      <t>BGN/knm</t>
    </r>
    <r>
      <rPr>
        <vertAlign val="superscript"/>
        <sz val="9"/>
        <rFont val="Times New Roman"/>
        <family val="1"/>
      </rPr>
      <t>3</t>
    </r>
  </si>
  <si>
    <t xml:space="preserve">Цена за капацитет </t>
  </si>
  <si>
    <r>
      <t>кWh/nm</t>
    </r>
    <r>
      <rPr>
        <vertAlign val="superscript"/>
        <sz val="11"/>
        <rFont val="Calibri"/>
        <family val="2"/>
        <charset val="204"/>
      </rPr>
      <t>3</t>
    </r>
  </si>
  <si>
    <t xml:space="preserve">Цени за достъп и пренос през газопреносните мрежи собственост на "Булгартрансгаз" ЕАД за газовата година </t>
  </si>
  <si>
    <t xml:space="preserve">01.10.2017 г. - 30.09.2018 г. в съответствие с Решение No НГП-1/01.08.2017 г. на КЕВР приети с решение по т. 1.1 </t>
  </si>
  <si>
    <t>и т. 1.2 от протокол № 231 от 21.09.2017 г. на Управителния съвет на „Булгартрансгаз“ ЕАД</t>
  </si>
  <si>
    <t xml:space="preserve">Избор на входни точки/зони и изходни точки/зони с 1 </t>
  </si>
  <si>
    <t>Да не се коригират данните в таблиците и формулите.</t>
  </si>
  <si>
    <t>КН =</t>
  </si>
  <si>
    <t>Приведена цена на дневна база за твърд годишен продукт (лв./MWh/ ден)</t>
  </si>
  <si>
    <t>Разходи за пренос</t>
  </si>
  <si>
    <t xml:space="preserve">Представителна калоричност </t>
  </si>
  <si>
    <t xml:space="preserve">ОПРЕДЕЛЯНЕ ЦЕНА НА ПРИРОДЕН ГАЗ ПО МЕСЕЦИ ЗА ЦЕНОВИЯ ПЕРИОД НА ДРУЖЕСТВО: </t>
  </si>
  <si>
    <t>ОПРЕДЕЛЯНЕ ЦЕНА НА ПРИРОДЕН ГАЗ ПО МЕСЕЦИ ЗА ЦЕНОВИЯ ПЕРИОД НА ДРУЖЕСТВО: "ТОПЛОФИКАЦИЯ - ВРАЦА"ЕАД</t>
  </si>
  <si>
    <t>ТОПЛОФИКАЦИЯ - ВРАЦА ЕАД</t>
  </si>
  <si>
    <t>Изп. директор:</t>
  </si>
  <si>
    <t>Гл. инженер:</t>
  </si>
  <si>
    <t>инж. Радослав Михайлов</t>
  </si>
  <si>
    <t>инж. Пламен Аспарухов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</si>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</sst>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#,##0.0"/>
    <numFmt numFmtId="166" formatCode="0.0%"/>
    <numFmt numFmtId="167" formatCode="0.000"/>
  </numFmts>
  <fonts count="4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vertAlign val="superscript"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</font>
    <font>
      <vertAlign val="superscript"/>
      <sz val="9"/>
      <name val="Times New Roman"/>
      <family val="1"/>
    </font>
    <font>
      <sz val="8"/>
      <color indexed="8"/>
      <name val="Tahoma"/>
      <family val="2"/>
      <charset val="204"/>
    </font>
    <font>
      <sz val="8"/>
      <name val="Tahoma"/>
      <family val="2"/>
      <charset val="204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vertAlign val="superscript"/>
      <sz val="11"/>
      <name val="Calibri"/>
      <family val="2"/>
      <charset val="204"/>
    </font>
    <font>
      <sz val="10"/>
      <name val="Tahoma"/>
      <family val="2"/>
      <charset val="204"/>
    </font>
    <font>
      <sz val="7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8"/>
      <color theme="1"/>
      <name val="Tahoma"/>
      <family val="2"/>
      <charset val="204"/>
    </font>
    <font>
      <sz val="8"/>
      <color theme="1"/>
      <name val="Tahoma"/>
      <family val="2"/>
      <charset val="204"/>
    </font>
    <font>
      <sz val="8"/>
      <color theme="1"/>
      <name val="Calibri"/>
      <family val="2"/>
      <charset val="204"/>
      <scheme val="minor"/>
    </font>
    <font>
      <sz val="8"/>
      <color rgb="FF0070C0"/>
      <name val="Calibri"/>
      <family val="2"/>
      <charset val="204"/>
      <scheme val="minor"/>
    </font>
    <font>
      <b/>
      <sz val="8"/>
      <color rgb="FF0070C0"/>
      <name val="Tahoma"/>
      <family val="2"/>
      <charset val="204"/>
    </font>
    <font>
      <b/>
      <sz val="8"/>
      <color rgb="FF0070C0"/>
      <name val="Verdana"/>
      <family val="2"/>
      <charset val="204"/>
    </font>
    <font>
      <sz val="8"/>
      <color rgb="FF0070C0"/>
      <name val="Tahoma"/>
      <family val="2"/>
      <charset val="204"/>
    </font>
    <font>
      <sz val="8"/>
      <color rgb="FFFF0000"/>
      <name val="Calibri"/>
      <family val="2"/>
      <charset val="204"/>
      <scheme val="minor"/>
    </font>
    <font>
      <b/>
      <sz val="7"/>
      <color rgb="FFFF0000"/>
      <name val="Tahoma"/>
      <family val="2"/>
      <charset val="204"/>
    </font>
    <font>
      <b/>
      <sz val="7"/>
      <color theme="1"/>
      <name val="Tahoma"/>
      <family val="2"/>
      <charset val="204"/>
    </font>
    <font>
      <b/>
      <sz val="6"/>
      <color theme="1"/>
      <name val="Tahoma"/>
      <family val="2"/>
      <charset val="204"/>
    </font>
    <font>
      <b/>
      <sz val="6"/>
      <color rgb="FFFF0000"/>
      <name val="Tahoma"/>
      <family val="2"/>
      <charset val="204"/>
    </font>
    <font>
      <b/>
      <sz val="8"/>
      <color rgb="FF0070C0"/>
      <name val="Calibri"/>
      <family val="2"/>
      <charset val="204"/>
      <scheme val="minor"/>
    </font>
    <font>
      <sz val="8"/>
      <color rgb="FF0070C0"/>
      <name val="Calibri"/>
      <family val="2"/>
      <charset val="204"/>
    </font>
    <font>
      <b/>
      <sz val="8"/>
      <color rgb="FF0070C0"/>
      <name val="Calibri"/>
      <family val="2"/>
      <charset val="204"/>
    </font>
    <font>
      <sz val="8"/>
      <color theme="1"/>
      <name val="Calibri"/>
      <family val="2"/>
      <charset val="204"/>
    </font>
    <font>
      <sz val="11"/>
      <color rgb="FF0070C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color theme="0"/>
      <name val="Tahoma"/>
      <family val="2"/>
      <charset val="204"/>
    </font>
    <font>
      <sz val="10"/>
      <name val="Calibri"/>
      <family val="2"/>
      <charset val="204"/>
      <scheme val="minor"/>
    </font>
    <font>
      <b/>
      <sz val="8"/>
      <color rgb="FFFF0000"/>
      <name val="Tahoma"/>
      <family val="2"/>
      <charset val="204"/>
    </font>
    <font>
      <sz val="7"/>
      <color theme="1"/>
      <name val="Tahoma"/>
      <family val="2"/>
      <charset val="204"/>
    </font>
    <font>
      <sz val="7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3" fillId="0" borderId="0" applyFont="0" applyFill="0" applyBorder="0" applyAlignment="0" applyProtection="0"/>
  </cellStyleXfs>
  <cellXfs count="15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/>
    <xf numFmtId="0" fontId="0" fillId="0" borderId="1" xfId="0" applyFont="1" applyBorder="1" applyAlignment="1">
      <alignment horizontal="center" vertical="center" wrapText="1"/>
    </xf>
    <xf numFmtId="0" fontId="15" fillId="0" borderId="0" xfId="0" applyFont="1"/>
    <xf numFmtId="2" fontId="15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9" fillId="0" borderId="0" xfId="0" applyFont="1"/>
    <xf numFmtId="0" fontId="17" fillId="0" borderId="1" xfId="0" applyFont="1" applyBorder="1" applyAlignment="1">
      <alignment horizontal="center" vertical="center" wrapText="1"/>
    </xf>
    <xf numFmtId="0" fontId="20" fillId="0" borderId="0" xfId="0" applyFont="1"/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 indent="2"/>
    </xf>
    <xf numFmtId="0" fontId="18" fillId="0" borderId="1" xfId="0" applyFont="1" applyBorder="1" applyAlignment="1">
      <alignment horizontal="center" vertical="center" wrapText="1"/>
    </xf>
    <xf numFmtId="0" fontId="20" fillId="0" borderId="0" xfId="0" applyFont="1" applyBorder="1"/>
    <xf numFmtId="0" fontId="19" fillId="0" borderId="0" xfId="0" applyFont="1" applyBorder="1"/>
    <xf numFmtId="0" fontId="21" fillId="0" borderId="0" xfId="0" applyFont="1" applyBorder="1"/>
    <xf numFmtId="0" fontId="22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Border="1" applyAlignment="1">
      <alignment vertical="center" wrapText="1"/>
    </xf>
    <xf numFmtId="164" fontId="23" fillId="0" borderId="0" xfId="0" applyNumberFormat="1" applyFont="1" applyBorder="1"/>
    <xf numFmtId="0" fontId="17" fillId="0" borderId="1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2" fontId="23" fillId="0" borderId="0" xfId="0" applyNumberFormat="1" applyFont="1" applyBorder="1" applyAlignment="1">
      <alignment horizontal="center" vertical="center" wrapText="1"/>
    </xf>
    <xf numFmtId="2" fontId="21" fillId="0" borderId="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center"/>
    </xf>
    <xf numFmtId="0" fontId="24" fillId="0" borderId="0" xfId="0" applyFont="1" applyAlignment="1">
      <alignment horizontal="center"/>
    </xf>
    <xf numFmtId="4" fontId="0" fillId="0" borderId="1" xfId="0" applyNumberFormat="1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0" fontId="0" fillId="3" borderId="1" xfId="0" applyFill="1" applyBorder="1" applyAlignment="1">
      <alignment horizontal="center" wrapText="1"/>
    </xf>
    <xf numFmtId="17" fontId="0" fillId="2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 wrapText="1"/>
    </xf>
    <xf numFmtId="2" fontId="4" fillId="0" borderId="1" xfId="1" applyNumberFormat="1" applyFont="1" applyBorder="1" applyAlignment="1" applyProtection="1">
      <alignment horizontal="center" vertical="center"/>
    </xf>
    <xf numFmtId="2" fontId="4" fillId="0" borderId="1" xfId="1" applyNumberFormat="1" applyFont="1" applyBorder="1" applyAlignment="1" applyProtection="1">
      <alignment horizontal="right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166" fontId="13" fillId="0" borderId="0" xfId="2" applyNumberFormat="1" applyFont="1"/>
    <xf numFmtId="17" fontId="0" fillId="5" borderId="1" xfId="0" applyNumberFormat="1" applyFill="1" applyBorder="1" applyAlignment="1">
      <alignment horizontal="center"/>
    </xf>
    <xf numFmtId="49" fontId="0" fillId="5" borderId="1" xfId="0" applyNumberFormat="1" applyFill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 indent="1"/>
    </xf>
    <xf numFmtId="0" fontId="27" fillId="0" borderId="1" xfId="0" applyFont="1" applyBorder="1" applyAlignment="1">
      <alignment horizontal="left" vertical="center" wrapText="1" indent="1"/>
    </xf>
    <xf numFmtId="0" fontId="27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0" xfId="0" applyFont="1"/>
    <xf numFmtId="0" fontId="20" fillId="0" borderId="0" xfId="0" applyFont="1" applyAlignment="1">
      <alignment horizontal="center"/>
    </xf>
    <xf numFmtId="164" fontId="30" fillId="0" borderId="0" xfId="0" applyNumberFormat="1" applyFont="1" applyBorder="1" applyAlignment="1">
      <alignment horizontal="center" vertical="center" wrapText="1"/>
    </xf>
    <xf numFmtId="164" fontId="31" fillId="0" borderId="0" xfId="0" applyNumberFormat="1" applyFont="1" applyBorder="1" applyAlignment="1">
      <alignment horizontal="center" vertical="center" wrapText="1"/>
    </xf>
    <xf numFmtId="164" fontId="32" fillId="0" borderId="0" xfId="0" applyNumberFormat="1" applyFont="1" applyBorder="1"/>
    <xf numFmtId="0" fontId="32" fillId="0" borderId="0" xfId="0" applyFont="1"/>
    <xf numFmtId="165" fontId="33" fillId="0" borderId="1" xfId="0" applyNumberFormat="1" applyFont="1" applyBorder="1" applyAlignment="1">
      <alignment vertical="center"/>
    </xf>
    <xf numFmtId="2" fontId="17" fillId="0" borderId="1" xfId="0" applyNumberFormat="1" applyFont="1" applyBorder="1" applyAlignment="1">
      <alignment vertical="center" wrapText="1"/>
    </xf>
    <xf numFmtId="165" fontId="33" fillId="0" borderId="1" xfId="0" applyNumberFormat="1" applyFont="1" applyFill="1" applyBorder="1" applyAlignment="1">
      <alignment horizontal="right" vertical="center" wrapText="1"/>
    </xf>
    <xf numFmtId="2" fontId="0" fillId="0" borderId="1" xfId="0" applyNumberFormat="1" applyBorder="1"/>
    <xf numFmtId="3" fontId="0" fillId="0" borderId="1" xfId="0" applyNumberFormat="1" applyBorder="1" applyAlignment="1">
      <alignment vertical="center"/>
    </xf>
    <xf numFmtId="4" fontId="0" fillId="0" borderId="0" xfId="0" applyNumberFormat="1"/>
    <xf numFmtId="2" fontId="0" fillId="0" borderId="0" xfId="0" applyNumberFormat="1"/>
    <xf numFmtId="0" fontId="34" fillId="0" borderId="1" xfId="0" applyFont="1" applyBorder="1" applyAlignment="1">
      <alignment horizontal="center"/>
    </xf>
    <xf numFmtId="0" fontId="8" fillId="0" borderId="1" xfId="0" applyFont="1" applyBorder="1" applyAlignment="1" applyProtection="1">
      <alignment horizontal="center" vertical="center"/>
      <protection hidden="1"/>
    </xf>
    <xf numFmtId="3" fontId="0" fillId="6" borderId="1" xfId="0" applyNumberFormat="1" applyFill="1" applyBorder="1" applyAlignment="1">
      <alignment vertical="center"/>
    </xf>
    <xf numFmtId="3" fontId="35" fillId="0" borderId="1" xfId="0" applyNumberFormat="1" applyFont="1" applyBorder="1"/>
    <xf numFmtId="165" fontId="0" fillId="0" borderId="1" xfId="0" applyNumberFormat="1" applyFill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4" fontId="0" fillId="0" borderId="1" xfId="0" applyNumberFormat="1" applyFill="1" applyBorder="1" applyAlignment="1">
      <alignment horizont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2" borderId="0" xfId="0" applyFill="1"/>
    <xf numFmtId="0" fontId="33" fillId="2" borderId="0" xfId="0" applyFont="1" applyFill="1"/>
    <xf numFmtId="2" fontId="35" fillId="0" borderId="1" xfId="0" applyNumberFormat="1" applyFont="1" applyBorder="1" applyAlignment="1">
      <alignment horizontal="center" vertical="center"/>
    </xf>
    <xf numFmtId="0" fontId="35" fillId="0" borderId="1" xfId="0" applyFont="1" applyBorder="1"/>
    <xf numFmtId="0" fontId="0" fillId="2" borderId="1" xfId="0" applyFill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0" fillId="0" borderId="1" xfId="0" applyBorder="1" applyAlignment="1"/>
    <xf numFmtId="0" fontId="0" fillId="0" borderId="1" xfId="0" applyBorder="1" applyAlignment="1">
      <alignment horizontal="left" vertical="center" wrapText="1"/>
    </xf>
    <xf numFmtId="10" fontId="35" fillId="0" borderId="1" xfId="2" applyNumberFormat="1" applyFont="1" applyBorder="1" applyAlignment="1">
      <alignment vertical="center"/>
    </xf>
    <xf numFmtId="17" fontId="35" fillId="2" borderId="1" xfId="0" applyNumberFormat="1" applyFont="1" applyFill="1" applyBorder="1" applyAlignment="1">
      <alignment horizontal="center"/>
    </xf>
    <xf numFmtId="0" fontId="36" fillId="0" borderId="0" xfId="0" applyFont="1"/>
    <xf numFmtId="0" fontId="11" fillId="0" borderId="0" xfId="0" applyFont="1"/>
    <xf numFmtId="0" fontId="16" fillId="0" borderId="0" xfId="0" applyFont="1"/>
    <xf numFmtId="165" fontId="16" fillId="0" borderId="0" xfId="0" applyNumberFormat="1" applyFont="1"/>
    <xf numFmtId="0" fontId="7" fillId="0" borderId="1" xfId="0" applyFont="1" applyBorder="1" applyAlignment="1">
      <alignment horizontal="left" vertical="center" wrapText="1" indent="2"/>
    </xf>
    <xf numFmtId="164" fontId="7" fillId="0" borderId="1" xfId="0" applyNumberFormat="1" applyFont="1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1" fontId="0" fillId="7" borderId="1" xfId="0" applyNumberFormat="1" applyFill="1" applyBorder="1" applyAlignment="1">
      <alignment horizontal="center" vertical="center"/>
    </xf>
    <xf numFmtId="0" fontId="14" fillId="6" borderId="0" xfId="0" applyFont="1" applyFill="1"/>
    <xf numFmtId="1" fontId="14" fillId="6" borderId="0" xfId="0" applyNumberFormat="1" applyFont="1" applyFill="1" applyAlignment="1">
      <alignment vertical="center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6" borderId="0" xfId="0" applyFont="1" applyFill="1" applyAlignment="1">
      <alignment horizontal="center"/>
    </xf>
    <xf numFmtId="0" fontId="14" fillId="0" borderId="0" xfId="0" applyFont="1"/>
    <xf numFmtId="1" fontId="14" fillId="0" borderId="0" xfId="0" applyNumberFormat="1" applyFont="1" applyAlignment="1">
      <alignment vertical="center"/>
    </xf>
    <xf numFmtId="0" fontId="37" fillId="0" borderId="0" xfId="0" applyFont="1" applyAlignment="1">
      <alignment horizontal="center"/>
    </xf>
    <xf numFmtId="164" fontId="37" fillId="0" borderId="0" xfId="0" applyNumberFormat="1" applyFont="1" applyAlignment="1">
      <alignment horizontal="center"/>
    </xf>
    <xf numFmtId="0" fontId="37" fillId="0" borderId="0" xfId="0" applyFont="1" applyBorder="1" applyAlignment="1">
      <alignment horizontal="center" vertical="center" wrapText="1"/>
    </xf>
    <xf numFmtId="167" fontId="37" fillId="0" borderId="1" xfId="0" applyNumberFormat="1" applyFont="1" applyBorder="1" applyAlignment="1">
      <alignment horizontal="center" vertical="center" wrapText="1"/>
    </xf>
    <xf numFmtId="164" fontId="37" fillId="0" borderId="1" xfId="0" applyNumberFormat="1" applyFont="1" applyBorder="1" applyAlignment="1">
      <alignment horizontal="center" vertical="center" wrapText="1"/>
    </xf>
    <xf numFmtId="0" fontId="37" fillId="6" borderId="1" xfId="0" applyFont="1" applyFill="1" applyBorder="1" applyAlignment="1">
      <alignment horizontal="center" vertical="center" wrapText="1"/>
    </xf>
    <xf numFmtId="0" fontId="38" fillId="0" borderId="0" xfId="0" applyFont="1"/>
    <xf numFmtId="0" fontId="0" fillId="0" borderId="0" xfId="0" applyAlignment="1">
      <alignment horizontal="center"/>
    </xf>
    <xf numFmtId="2" fontId="35" fillId="6" borderId="1" xfId="0" applyNumberFormat="1" applyFont="1" applyFill="1" applyBorder="1" applyAlignment="1">
      <alignment horizontal="center" vertical="center" wrapText="1"/>
    </xf>
    <xf numFmtId="0" fontId="35" fillId="6" borderId="1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wrapText="1"/>
    </xf>
    <xf numFmtId="2" fontId="0" fillId="0" borderId="1" xfId="0" applyNumberFormat="1" applyFont="1" applyBorder="1" applyAlignment="1">
      <alignment vertical="center"/>
    </xf>
    <xf numFmtId="2" fontId="35" fillId="0" borderId="1" xfId="0" applyNumberFormat="1" applyFont="1" applyBorder="1" applyAlignment="1">
      <alignment vertical="center"/>
    </xf>
    <xf numFmtId="0" fontId="35" fillId="4" borderId="1" xfId="0" applyFont="1" applyFill="1" applyBorder="1" applyAlignment="1">
      <alignment vertical="center"/>
    </xf>
    <xf numFmtId="167" fontId="35" fillId="4" borderId="1" xfId="0" applyNumberFormat="1" applyFont="1" applyFill="1" applyBorder="1" applyAlignment="1">
      <alignment vertical="center"/>
    </xf>
    <xf numFmtId="0" fontId="35" fillId="0" borderId="1" xfId="0" applyFont="1" applyBorder="1" applyAlignment="1">
      <alignment vertical="center"/>
    </xf>
    <xf numFmtId="0" fontId="0" fillId="4" borderId="0" xfId="0" applyFill="1"/>
    <xf numFmtId="3" fontId="0" fillId="0" borderId="1" xfId="0" applyNumberFormat="1" applyBorder="1"/>
    <xf numFmtId="3" fontId="0" fillId="4" borderId="1" xfId="0" applyNumberFormat="1" applyFill="1" applyBorder="1" applyAlignment="1">
      <alignment vertical="center"/>
    </xf>
    <xf numFmtId="3" fontId="35" fillId="4" borderId="1" xfId="0" applyNumberFormat="1" applyFont="1" applyFill="1" applyBorder="1" applyAlignment="1">
      <alignment vertical="center"/>
    </xf>
    <xf numFmtId="167" fontId="0" fillId="0" borderId="0" xfId="0" applyNumberFormat="1"/>
    <xf numFmtId="0" fontId="42" fillId="0" borderId="0" xfId="0" applyFont="1" applyAlignment="1" applyProtection="1">
      <alignment horizontal="right"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Fill="1" applyAlignment="1" applyProtection="1">
      <alignment horizontal="right"/>
      <protection hidden="1"/>
    </xf>
    <xf numFmtId="0" fontId="42" fillId="0" borderId="0" xfId="0" applyFont="1" applyFill="1" applyProtection="1">
      <protection hidden="1"/>
    </xf>
    <xf numFmtId="0" fontId="42" fillId="0" borderId="0" xfId="0" applyFont="1" applyFill="1" applyAlignment="1" applyProtection="1">
      <alignment horizontal="left"/>
      <protection hidden="1"/>
    </xf>
    <xf numFmtId="0" fontId="42" fillId="0" borderId="0" xfId="0" applyFont="1" applyFill="1" applyAlignment="1" applyProtection="1">
      <protection hidden="1"/>
    </xf>
    <xf numFmtId="0" fontId="12" fillId="0" borderId="2" xfId="0" applyFont="1" applyBorder="1" applyAlignment="1">
      <alignment vertical="center" wrapText="1"/>
    </xf>
    <xf numFmtId="0" fontId="41" fillId="0" borderId="3" xfId="0" applyFont="1" applyBorder="1" applyAlignment="1"/>
    <xf numFmtId="0" fontId="40" fillId="0" borderId="2" xfId="0" applyFont="1" applyBorder="1" applyAlignment="1">
      <alignment vertical="center" wrapText="1"/>
    </xf>
    <xf numFmtId="0" fontId="26" fillId="0" borderId="2" xfId="0" applyFont="1" applyBorder="1" applyAlignment="1">
      <alignment vertical="center" wrapText="1"/>
    </xf>
    <xf numFmtId="0" fontId="0" fillId="0" borderId="3" xfId="0" applyBorder="1" applyAlignment="1"/>
    <xf numFmtId="0" fontId="17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 indent="5"/>
    </xf>
    <xf numFmtId="0" fontId="39" fillId="0" borderId="1" xfId="0" applyFont="1" applyBorder="1" applyAlignment="1">
      <alignment horizontal="left" vertical="center" wrapText="1" indent="15"/>
    </xf>
    <xf numFmtId="0" fontId="17" fillId="0" borderId="1" xfId="0" applyFont="1" applyBorder="1" applyAlignment="1">
      <alignment horizontal="left" vertical="center" wrapText="1" indent="10"/>
    </xf>
    <xf numFmtId="0" fontId="17" fillId="0" borderId="1" xfId="0" applyFont="1" applyBorder="1" applyAlignment="1">
      <alignment horizontal="left" vertical="center" wrapText="1" indent="8"/>
    </xf>
    <xf numFmtId="0" fontId="40" fillId="0" borderId="1" xfId="0" applyFont="1" applyBorder="1" applyAlignment="1">
      <alignment vertical="center" wrapText="1"/>
    </xf>
    <xf numFmtId="0" fontId="41" fillId="0" borderId="1" xfId="0" applyFont="1" applyBorder="1" applyAlignment="1"/>
    <xf numFmtId="0" fontId="39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 indent="1"/>
    </xf>
    <xf numFmtId="0" fontId="35" fillId="6" borderId="4" xfId="0" applyFont="1" applyFill="1" applyBorder="1" applyAlignment="1">
      <alignment horizontal="center" vertical="center" wrapText="1"/>
    </xf>
    <xf numFmtId="0" fontId="35" fillId="6" borderId="5" xfId="0" applyFont="1" applyFill="1" applyBorder="1" applyAlignment="1">
      <alignment horizontal="center" vertical="center" wrapText="1"/>
    </xf>
  </cellXfs>
  <cellStyles count="3">
    <cellStyle name="Normal 2" xfId="1"/>
    <cellStyle name="Нормален" xfId="0" builtinId="0"/>
    <cellStyle name="Процент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4"/>
  <sheetViews>
    <sheetView topLeftCell="A58" workbookViewId="0">
      <selection activeCell="L39" sqref="L39"/>
    </sheetView>
  </sheetViews>
  <sheetFormatPr defaultRowHeight="15" x14ac:dyDescent="0.25"/>
  <cols>
    <col min="1" max="1" width="3" customWidth="1"/>
    <col min="2" max="2" width="17.85546875" customWidth="1"/>
    <col min="3" max="3" width="7.85546875" customWidth="1"/>
    <col min="4" max="4" width="7.5703125" customWidth="1"/>
    <col min="5" max="5" width="8.85546875" customWidth="1"/>
    <col min="6" max="6" width="9.140625" customWidth="1"/>
    <col min="7" max="8" width="8.85546875" customWidth="1"/>
    <col min="9" max="9" width="9" customWidth="1"/>
    <col min="10" max="10" width="8.85546875" customWidth="1"/>
    <col min="11" max="11" width="7.42578125" customWidth="1"/>
    <col min="12" max="12" width="7" customWidth="1"/>
    <col min="13" max="13" width="8" customWidth="1"/>
    <col min="14" max="14" width="8.42578125" customWidth="1"/>
    <col min="15" max="16" width="6.7109375" customWidth="1"/>
    <col min="17" max="18" width="7.140625" customWidth="1"/>
  </cols>
  <sheetData>
    <row r="1" spans="1:14" ht="15.75" x14ac:dyDescent="0.25">
      <c r="B1" s="89" t="s">
        <v>112</v>
      </c>
    </row>
    <row r="2" spans="1:14" ht="15.75" x14ac:dyDescent="0.25">
      <c r="B2" s="89" t="s">
        <v>113</v>
      </c>
    </row>
    <row r="3" spans="1:14" ht="15.75" x14ac:dyDescent="0.25">
      <c r="B3" s="89" t="s">
        <v>114</v>
      </c>
    </row>
    <row r="5" spans="1:14" x14ac:dyDescent="0.25">
      <c r="B5" s="8" t="s">
        <v>39</v>
      </c>
    </row>
    <row r="6" spans="1:14" x14ac:dyDescent="0.25">
      <c r="B6" s="9" t="s">
        <v>40</v>
      </c>
    </row>
    <row r="7" spans="1:14" x14ac:dyDescent="0.25">
      <c r="B7" s="10" t="s">
        <v>41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ht="71.45" customHeight="1" x14ac:dyDescent="0.25">
      <c r="B8" s="53" t="s">
        <v>42</v>
      </c>
      <c r="C8" s="54" t="s">
        <v>14</v>
      </c>
      <c r="D8" s="55" t="s">
        <v>43</v>
      </c>
      <c r="E8" s="54" t="s">
        <v>118</v>
      </c>
      <c r="F8" s="54" t="s">
        <v>44</v>
      </c>
      <c r="G8" s="13"/>
      <c r="H8" s="11"/>
      <c r="I8" s="11"/>
      <c r="J8" s="11"/>
      <c r="K8" s="11"/>
      <c r="L8" s="11"/>
      <c r="M8" s="11"/>
      <c r="N8" s="11"/>
    </row>
    <row r="9" spans="1:14" x14ac:dyDescent="0.25">
      <c r="A9" s="11"/>
      <c r="B9" s="84" t="s">
        <v>15</v>
      </c>
      <c r="C9" s="84"/>
      <c r="D9" s="84"/>
      <c r="E9" s="85"/>
      <c r="F9" s="85"/>
      <c r="G9" s="11"/>
      <c r="H9" s="30"/>
      <c r="I9" s="11"/>
      <c r="J9" s="11"/>
      <c r="K9" s="11"/>
      <c r="L9" s="11"/>
      <c r="M9" s="11"/>
      <c r="N9" s="11"/>
    </row>
    <row r="10" spans="1:14" x14ac:dyDescent="0.25">
      <c r="A10" s="99">
        <f>H12</f>
        <v>1</v>
      </c>
      <c r="B10" s="76" t="s">
        <v>45</v>
      </c>
      <c r="C10" s="21">
        <v>157.97059999999999</v>
      </c>
      <c r="D10" s="21">
        <v>142.17349999999999</v>
      </c>
      <c r="E10" s="93">
        <v>0.43280000000000002</v>
      </c>
      <c r="F10" s="21">
        <v>0.38950000000000001</v>
      </c>
      <c r="G10" s="13"/>
      <c r="H10" s="90" t="s">
        <v>115</v>
      </c>
    </row>
    <row r="11" spans="1:14" x14ac:dyDescent="0.25">
      <c r="A11" s="99">
        <f>H13</f>
        <v>0</v>
      </c>
      <c r="B11" s="14" t="s">
        <v>46</v>
      </c>
      <c r="C11" s="16">
        <v>61.596899999999998</v>
      </c>
      <c r="D11" s="16">
        <v>55.437199999999997</v>
      </c>
      <c r="E11" s="15">
        <v>0.16880000000000001</v>
      </c>
      <c r="F11" s="16">
        <v>0.15190000000000001</v>
      </c>
      <c r="G11" s="13"/>
      <c r="H11" s="71" t="s">
        <v>95</v>
      </c>
      <c r="I11" s="136" t="s">
        <v>15</v>
      </c>
      <c r="J11" s="134"/>
      <c r="L11" s="71" t="s">
        <v>95</v>
      </c>
      <c r="M11" s="136" t="s">
        <v>17</v>
      </c>
      <c r="N11" s="134"/>
    </row>
    <row r="12" spans="1:14" ht="14.45" customHeight="1" x14ac:dyDescent="0.25">
      <c r="A12" s="99">
        <f>H14</f>
        <v>0</v>
      </c>
      <c r="B12" s="76" t="s">
        <v>16</v>
      </c>
      <c r="C12" s="21">
        <v>100.3355</v>
      </c>
      <c r="D12" s="94">
        <v>90.302000000000007</v>
      </c>
      <c r="E12" s="93">
        <v>0.27489999999999998</v>
      </c>
      <c r="F12" s="16">
        <v>0.24740000000000001</v>
      </c>
      <c r="G12" s="13"/>
      <c r="H12" s="95">
        <v>1</v>
      </c>
      <c r="I12" s="133" t="s">
        <v>45</v>
      </c>
      <c r="J12" s="137"/>
      <c r="L12" s="98">
        <v>1</v>
      </c>
      <c r="M12" s="133" t="s">
        <v>18</v>
      </c>
      <c r="N12" s="134"/>
    </row>
    <row r="13" spans="1:14" ht="14.45" customHeight="1" x14ac:dyDescent="0.25">
      <c r="A13" s="99">
        <f>H15</f>
        <v>0</v>
      </c>
      <c r="B13" s="14" t="s">
        <v>47</v>
      </c>
      <c r="C13" s="16">
        <v>236.27250000000001</v>
      </c>
      <c r="D13" s="16">
        <v>212.64529999999999</v>
      </c>
      <c r="E13" s="15">
        <v>0.64729999999999999</v>
      </c>
      <c r="F13" s="16">
        <v>0.58260000000000001</v>
      </c>
      <c r="G13" s="13"/>
      <c r="H13" s="95"/>
      <c r="I13" s="135" t="s">
        <v>46</v>
      </c>
      <c r="J13" s="134"/>
      <c r="L13" s="98"/>
      <c r="M13" s="133" t="s">
        <v>19</v>
      </c>
      <c r="N13" s="134"/>
    </row>
    <row r="14" spans="1:14" ht="14.45" customHeight="1" x14ac:dyDescent="0.25">
      <c r="A14" s="99">
        <f>H16</f>
        <v>0</v>
      </c>
      <c r="B14" s="14" t="s">
        <v>48</v>
      </c>
      <c r="C14" s="16">
        <v>123.4414</v>
      </c>
      <c r="D14" s="16">
        <v>111.0972</v>
      </c>
      <c r="E14" s="15">
        <v>0.3382</v>
      </c>
      <c r="F14" s="16">
        <v>0.3044</v>
      </c>
      <c r="G14" s="13"/>
      <c r="H14" s="95"/>
      <c r="I14" s="133" t="s">
        <v>16</v>
      </c>
      <c r="J14" s="134"/>
      <c r="L14" s="98"/>
      <c r="M14" s="135" t="s">
        <v>49</v>
      </c>
      <c r="N14" s="134"/>
    </row>
    <row r="15" spans="1:14" ht="14.45" customHeight="1" x14ac:dyDescent="0.25">
      <c r="B15" s="51" t="s">
        <v>17</v>
      </c>
      <c r="C15" s="101">
        <f>$A$10*C10+$A$11*C11+$A$12*C12+$A$13*C13+$A$14*C14</f>
        <v>157.97059999999999</v>
      </c>
      <c r="D15" s="102">
        <f>$A$10*D10+$A$11*D11+$A$12*D12+$A$13*D13+$A$14*D14</f>
        <v>142.17349999999999</v>
      </c>
      <c r="E15" s="102">
        <f>$A$10*E10+$A$11*E11+$A$12*E12+$A$13*E13+$A$14*E14</f>
        <v>0.43280000000000002</v>
      </c>
      <c r="F15" s="102">
        <f>$A$10*F10+$A$11*F11+$A$12*F12+$A$13*F13+$A$14*F14</f>
        <v>0.38950000000000001</v>
      </c>
      <c r="G15" s="58"/>
      <c r="H15" s="95"/>
      <c r="I15" s="135" t="s">
        <v>47</v>
      </c>
      <c r="J15" s="134"/>
      <c r="L15" s="98"/>
      <c r="M15" s="135" t="s">
        <v>47</v>
      </c>
      <c r="N15" s="134"/>
    </row>
    <row r="16" spans="1:14" ht="14.45" customHeight="1" x14ac:dyDescent="0.25">
      <c r="A16" s="100">
        <f t="shared" ref="A16:A22" si="0">L12</f>
        <v>1</v>
      </c>
      <c r="B16" s="76" t="s">
        <v>18</v>
      </c>
      <c r="C16" s="21">
        <v>389.31169999999997</v>
      </c>
      <c r="D16" s="21">
        <v>350.38060000000002</v>
      </c>
      <c r="E16" s="93">
        <v>1.0666</v>
      </c>
      <c r="F16" s="21">
        <v>0.95989999999999998</v>
      </c>
      <c r="G16" s="13"/>
      <c r="H16" s="95"/>
      <c r="I16" s="135" t="s">
        <v>48</v>
      </c>
      <c r="J16" s="134"/>
      <c r="L16" s="98"/>
      <c r="M16" s="135" t="s">
        <v>50</v>
      </c>
      <c r="N16" s="134"/>
    </row>
    <row r="17" spans="1:14" ht="14.45" customHeight="1" x14ac:dyDescent="0.25">
      <c r="A17" s="100">
        <f t="shared" si="0"/>
        <v>0</v>
      </c>
      <c r="B17" s="76" t="s">
        <v>19</v>
      </c>
      <c r="C17" s="21">
        <v>123.4414</v>
      </c>
      <c r="D17" s="21">
        <v>111.0972</v>
      </c>
      <c r="E17" s="93">
        <v>0.3382</v>
      </c>
      <c r="F17" s="16">
        <v>0.3044</v>
      </c>
      <c r="G17" s="13"/>
      <c r="L17" s="98"/>
      <c r="M17" s="135" t="s">
        <v>48</v>
      </c>
      <c r="N17" s="134"/>
    </row>
    <row r="18" spans="1:14" ht="14.45" customHeight="1" x14ac:dyDescent="0.25">
      <c r="A18" s="100">
        <f t="shared" si="0"/>
        <v>0</v>
      </c>
      <c r="B18" s="14" t="s">
        <v>49</v>
      </c>
      <c r="C18" s="16">
        <v>55.404899999999998</v>
      </c>
      <c r="D18" s="16">
        <v>49.864400000000003</v>
      </c>
      <c r="E18" s="15">
        <v>0.15179999999999999</v>
      </c>
      <c r="F18" s="16">
        <v>0.1366</v>
      </c>
      <c r="G18" s="13"/>
      <c r="J18" s="23"/>
      <c r="K18" s="96"/>
      <c r="L18" s="98"/>
      <c r="M18" s="143" t="s">
        <v>51</v>
      </c>
      <c r="N18" s="144"/>
    </row>
    <row r="19" spans="1:14" x14ac:dyDescent="0.25">
      <c r="A19" s="100">
        <f t="shared" si="0"/>
        <v>0</v>
      </c>
      <c r="B19" s="14" t="s">
        <v>47</v>
      </c>
      <c r="C19" s="16">
        <v>395.57130000000001</v>
      </c>
      <c r="D19" s="16">
        <v>356.01409999999998</v>
      </c>
      <c r="E19" s="15">
        <v>1.0838000000000001</v>
      </c>
      <c r="F19" s="16">
        <v>0.97540000000000004</v>
      </c>
      <c r="G19" s="13"/>
    </row>
    <row r="20" spans="1:14" x14ac:dyDescent="0.25">
      <c r="A20" s="100">
        <f t="shared" si="0"/>
        <v>0</v>
      </c>
      <c r="B20" s="14" t="s">
        <v>50</v>
      </c>
      <c r="C20" s="16">
        <v>578.22029999999995</v>
      </c>
      <c r="D20" s="16">
        <v>520.39829999999995</v>
      </c>
      <c r="E20" s="15">
        <v>1.5842000000000001</v>
      </c>
      <c r="F20" s="16">
        <v>1.4257</v>
      </c>
      <c r="G20" s="13"/>
      <c r="H20" s="112" t="s">
        <v>116</v>
      </c>
      <c r="I20" s="11"/>
      <c r="J20" s="11"/>
      <c r="K20" s="11"/>
      <c r="L20" s="11"/>
      <c r="M20" s="11"/>
      <c r="N20" s="11"/>
    </row>
    <row r="21" spans="1:14" x14ac:dyDescent="0.25">
      <c r="A21" s="100">
        <f t="shared" si="0"/>
        <v>0</v>
      </c>
      <c r="B21" s="14" t="s">
        <v>48</v>
      </c>
      <c r="C21" s="16">
        <v>333.75909999999999</v>
      </c>
      <c r="D21" s="16">
        <v>300.38319999999999</v>
      </c>
      <c r="E21" s="15">
        <v>0.91439999999999999</v>
      </c>
      <c r="F21" s="16">
        <v>0.82299999999999995</v>
      </c>
      <c r="G21" s="13"/>
      <c r="H21" s="13"/>
      <c r="I21" s="11"/>
      <c r="J21" s="11"/>
      <c r="K21" s="11"/>
      <c r="L21" s="11"/>
      <c r="M21" s="11"/>
      <c r="N21" s="11"/>
    </row>
    <row r="22" spans="1:14" ht="21" x14ac:dyDescent="0.25">
      <c r="A22" s="100">
        <f t="shared" si="0"/>
        <v>0</v>
      </c>
      <c r="B22" s="14" t="s">
        <v>51</v>
      </c>
      <c r="C22" s="14"/>
      <c r="D22" s="16">
        <v>78.985299999999995</v>
      </c>
      <c r="E22" s="16"/>
      <c r="F22" s="16">
        <v>0.21640000000000001</v>
      </c>
      <c r="G22" s="59"/>
      <c r="H22" s="13"/>
      <c r="I22" s="11"/>
      <c r="J22" s="11"/>
      <c r="K22" s="11"/>
      <c r="L22" s="11"/>
      <c r="M22" s="11"/>
      <c r="N22" s="11"/>
    </row>
    <row r="23" spans="1:14" x14ac:dyDescent="0.25">
      <c r="B23" s="11"/>
      <c r="C23" s="103">
        <f>$A$16*C16+$A$17*C17+$A$18*C18+$A$19*C19+$A$20*C20+$A$21*C21+$A$22*C22</f>
        <v>389.31169999999997</v>
      </c>
      <c r="D23" s="103">
        <f>$A$16*D16+$A$17*D17+$A$18*D18+$A$19*D19+$A$20*D20+$A$21*D21+$A$22*D22</f>
        <v>350.38060000000002</v>
      </c>
      <c r="E23" s="103">
        <f>$A$16*E16+$A$17*E17+$A$18*E18+$A$19*E19+$A$20*E20+$A$21*E21+$A$22*E22</f>
        <v>1.0666</v>
      </c>
      <c r="F23" s="103">
        <f>$A$16*F16+$A$17*F17+$A$18*F18+$A$19*F19+$A$20*F20+$A$21*F21+$A$22*F22</f>
        <v>0.95989999999999998</v>
      </c>
      <c r="G23" s="58"/>
      <c r="H23" s="58"/>
      <c r="I23" s="11"/>
      <c r="J23" s="11"/>
      <c r="K23" s="11"/>
      <c r="L23" s="11"/>
      <c r="M23" s="11"/>
      <c r="N23" s="11"/>
    </row>
    <row r="24" spans="1:14" x14ac:dyDescent="0.25">
      <c r="B24" s="8" t="s">
        <v>52</v>
      </c>
      <c r="C24" s="11"/>
      <c r="D24" s="11"/>
      <c r="E24" s="11"/>
      <c r="F24" s="11"/>
      <c r="G24" s="11"/>
      <c r="H24" s="11"/>
      <c r="I24" s="11"/>
      <c r="J24" s="11"/>
      <c r="K24" s="17"/>
      <c r="L24" s="18"/>
      <c r="M24" s="18"/>
      <c r="N24" s="11"/>
    </row>
    <row r="25" spans="1:14" x14ac:dyDescent="0.25">
      <c r="B25" s="138" t="s">
        <v>53</v>
      </c>
      <c r="C25" s="141" t="s">
        <v>54</v>
      </c>
      <c r="D25" s="141"/>
      <c r="E25" s="141"/>
      <c r="F25" s="141"/>
      <c r="G25" s="142" t="s">
        <v>55</v>
      </c>
      <c r="H25" s="142"/>
      <c r="I25" s="142"/>
      <c r="J25" s="142"/>
      <c r="K25" s="19"/>
      <c r="L25" s="19"/>
      <c r="M25" s="18"/>
      <c r="N25" s="11"/>
    </row>
    <row r="26" spans="1:14" ht="54" x14ac:dyDescent="0.25">
      <c r="B26" s="138"/>
      <c r="C26" s="52" t="s">
        <v>56</v>
      </c>
      <c r="D26" s="52" t="s">
        <v>57</v>
      </c>
      <c r="E26" s="52" t="s">
        <v>58</v>
      </c>
      <c r="F26" s="52" t="s">
        <v>59</v>
      </c>
      <c r="G26" s="52" t="s">
        <v>60</v>
      </c>
      <c r="H26" s="52" t="s">
        <v>61</v>
      </c>
      <c r="I26" s="52" t="s">
        <v>62</v>
      </c>
      <c r="J26" s="52" t="s">
        <v>63</v>
      </c>
      <c r="K26" s="20"/>
      <c r="L26" s="20"/>
      <c r="M26" s="18"/>
      <c r="N26" s="11"/>
    </row>
    <row r="27" spans="1:14" x14ac:dyDescent="0.25">
      <c r="B27" s="138" t="s">
        <v>15</v>
      </c>
      <c r="C27" s="138"/>
      <c r="D27" s="138"/>
      <c r="E27" s="138"/>
      <c r="F27" s="138"/>
      <c r="G27" s="138"/>
      <c r="H27" s="138"/>
      <c r="I27" s="138"/>
      <c r="J27" s="138"/>
      <c r="K27" s="18"/>
      <c r="L27" s="18"/>
      <c r="M27" s="18"/>
      <c r="N27" s="11"/>
    </row>
    <row r="28" spans="1:14" x14ac:dyDescent="0.25">
      <c r="A28" s="104">
        <f>$A$10</f>
        <v>1</v>
      </c>
      <c r="B28" s="76" t="s">
        <v>45</v>
      </c>
      <c r="C28" s="21">
        <v>71.671000000000006</v>
      </c>
      <c r="D28" s="21">
        <v>70.113</v>
      </c>
      <c r="E28" s="21">
        <v>39.384399999999999</v>
      </c>
      <c r="F28" s="21">
        <v>39.8172</v>
      </c>
      <c r="G28" s="16">
        <v>64.503900000000002</v>
      </c>
      <c r="H28" s="16">
        <v>63.101700000000001</v>
      </c>
      <c r="I28" s="16">
        <v>35.445999999999998</v>
      </c>
      <c r="J28" s="16">
        <v>35.835500000000003</v>
      </c>
      <c r="K28" s="60"/>
      <c r="L28" s="60"/>
      <c r="M28" s="60"/>
      <c r="N28" s="60"/>
    </row>
    <row r="29" spans="1:14" x14ac:dyDescent="0.25">
      <c r="A29" s="104">
        <f>$A$11</f>
        <v>0</v>
      </c>
      <c r="B29" s="14" t="s">
        <v>46</v>
      </c>
      <c r="C29" s="21">
        <v>27.946400000000001</v>
      </c>
      <c r="D29" s="21">
        <v>27.338899999999999</v>
      </c>
      <c r="E29" s="16">
        <v>15.356999999999999</v>
      </c>
      <c r="F29" s="16">
        <v>15.5258</v>
      </c>
      <c r="G29" s="16">
        <v>25.151800000000001</v>
      </c>
      <c r="H29" s="16">
        <v>24.605</v>
      </c>
      <c r="I29" s="16">
        <v>13.821300000000001</v>
      </c>
      <c r="J29" s="16">
        <v>13.9732</v>
      </c>
      <c r="K29" s="60"/>
      <c r="L29" s="60"/>
      <c r="M29" s="60"/>
      <c r="N29" s="60"/>
    </row>
    <row r="30" spans="1:14" x14ac:dyDescent="0.25">
      <c r="A30" s="104">
        <f>$A$12</f>
        <v>0</v>
      </c>
      <c r="B30" s="76" t="s">
        <v>16</v>
      </c>
      <c r="C30" s="21">
        <v>45.522100000000002</v>
      </c>
      <c r="D30" s="21">
        <v>44.532499999999999</v>
      </c>
      <c r="E30" s="16">
        <v>25.0152</v>
      </c>
      <c r="F30" s="16">
        <v>25.290099999999999</v>
      </c>
      <c r="G30" s="16">
        <v>40.969900000000003</v>
      </c>
      <c r="H30" s="16">
        <v>40.0792</v>
      </c>
      <c r="I30" s="16">
        <v>22.5136</v>
      </c>
      <c r="J30" s="16">
        <v>22.760999999999999</v>
      </c>
      <c r="K30" s="60"/>
      <c r="L30" s="60"/>
      <c r="M30" s="60"/>
      <c r="N30" s="60"/>
    </row>
    <row r="31" spans="1:14" x14ac:dyDescent="0.25">
      <c r="A31" s="104">
        <f>$A$13</f>
        <v>0</v>
      </c>
      <c r="B31" s="14" t="s">
        <v>47</v>
      </c>
      <c r="C31" s="21">
        <v>107.1965</v>
      </c>
      <c r="D31" s="21">
        <v>104.86620000000001</v>
      </c>
      <c r="E31" s="16">
        <v>58.906300000000002</v>
      </c>
      <c r="F31" s="16">
        <v>59.553600000000003</v>
      </c>
      <c r="G31" s="16">
        <v>96.476900000000001</v>
      </c>
      <c r="H31" s="16">
        <v>94.379499999999993</v>
      </c>
      <c r="I31" s="16">
        <v>53.015700000000002</v>
      </c>
      <c r="J31" s="16">
        <v>53.598300000000002</v>
      </c>
      <c r="K31" s="60"/>
      <c r="L31" s="60"/>
      <c r="M31" s="60"/>
      <c r="N31" s="60"/>
    </row>
    <row r="32" spans="1:14" x14ac:dyDescent="0.25">
      <c r="A32" s="104">
        <f>$A$14</f>
        <v>0</v>
      </c>
      <c r="B32" s="14" t="s">
        <v>48</v>
      </c>
      <c r="C32" s="21">
        <v>56.005200000000002</v>
      </c>
      <c r="D32" s="21">
        <v>54.787700000000001</v>
      </c>
      <c r="E32" s="16">
        <v>30.7758</v>
      </c>
      <c r="F32" s="16">
        <v>31.114000000000001</v>
      </c>
      <c r="G32" s="16">
        <v>50.404699999999998</v>
      </c>
      <c r="H32" s="16">
        <v>49.308900000000001</v>
      </c>
      <c r="I32" s="16">
        <v>27.6982</v>
      </c>
      <c r="J32" s="16">
        <v>28.002600000000001</v>
      </c>
      <c r="K32" s="60"/>
      <c r="L32" s="60"/>
      <c r="M32" s="60"/>
      <c r="N32" s="60"/>
    </row>
    <row r="33" spans="1:14" ht="21" x14ac:dyDescent="0.25">
      <c r="B33" s="50" t="s">
        <v>17</v>
      </c>
      <c r="C33" s="102">
        <f>$A$28*C28+$A$29*C29+$A$30*C30+$A$31*C31+$A$32*C32</f>
        <v>71.671000000000006</v>
      </c>
      <c r="D33" s="102">
        <f t="shared" ref="D33:J33" si="1">$A$28*D28+$A$29*D29+$A$30*D30+$A$31*D31+$A$32*D32</f>
        <v>70.113</v>
      </c>
      <c r="E33" s="102">
        <f t="shared" si="1"/>
        <v>39.384399999999999</v>
      </c>
      <c r="F33" s="102">
        <f t="shared" si="1"/>
        <v>39.8172</v>
      </c>
      <c r="G33" s="102">
        <f t="shared" si="1"/>
        <v>64.503900000000002</v>
      </c>
      <c r="H33" s="102">
        <f t="shared" si="1"/>
        <v>63.101700000000001</v>
      </c>
      <c r="I33" s="102">
        <f t="shared" si="1"/>
        <v>35.445999999999998</v>
      </c>
      <c r="J33" s="102">
        <f t="shared" si="1"/>
        <v>35.835500000000003</v>
      </c>
      <c r="K33" s="61"/>
      <c r="L33" s="61"/>
      <c r="M33" s="61"/>
      <c r="N33" s="61"/>
    </row>
    <row r="34" spans="1:14" ht="21" x14ac:dyDescent="0.25">
      <c r="A34" s="105">
        <f>$A$16</f>
        <v>1</v>
      </c>
      <c r="B34" s="76" t="s">
        <v>18</v>
      </c>
      <c r="C34" s="21">
        <v>176.6302</v>
      </c>
      <c r="D34" s="21">
        <v>172.79040000000001</v>
      </c>
      <c r="E34" s="21">
        <v>97.061300000000003</v>
      </c>
      <c r="F34" s="21">
        <v>98.127899999999997</v>
      </c>
      <c r="G34" s="16">
        <v>158.96719999999999</v>
      </c>
      <c r="H34" s="16">
        <v>155.51140000000001</v>
      </c>
      <c r="I34" s="16">
        <v>87.355199999999996</v>
      </c>
      <c r="J34" s="16">
        <v>88.315100000000001</v>
      </c>
      <c r="K34" s="60"/>
      <c r="L34" s="60"/>
      <c r="M34" s="60"/>
      <c r="N34" s="60"/>
    </row>
    <row r="35" spans="1:14" ht="21" x14ac:dyDescent="0.25">
      <c r="A35" s="105">
        <f>$A$17</f>
        <v>0</v>
      </c>
      <c r="B35" s="76" t="s">
        <v>19</v>
      </c>
      <c r="C35" s="21">
        <v>56.005200000000002</v>
      </c>
      <c r="D35" s="21">
        <v>54.787700000000001</v>
      </c>
      <c r="E35" s="16">
        <v>30.7758</v>
      </c>
      <c r="F35" s="16">
        <v>31.114000000000001</v>
      </c>
      <c r="G35" s="16">
        <v>50.404699999999998</v>
      </c>
      <c r="H35" s="16">
        <v>49.308900000000001</v>
      </c>
      <c r="I35" s="16">
        <v>27.6982</v>
      </c>
      <c r="J35" s="16">
        <v>28.002600000000001</v>
      </c>
      <c r="K35" s="60"/>
      <c r="L35" s="60"/>
      <c r="M35" s="60"/>
      <c r="N35" s="60"/>
    </row>
    <row r="36" spans="1:14" x14ac:dyDescent="0.25">
      <c r="A36" s="105">
        <f>$A$18</f>
        <v>0</v>
      </c>
      <c r="B36" s="14" t="s">
        <v>49</v>
      </c>
      <c r="C36" s="21">
        <v>25.1371</v>
      </c>
      <c r="D36" s="21">
        <v>24.590699999999998</v>
      </c>
      <c r="E36" s="16">
        <v>13.8133</v>
      </c>
      <c r="F36" s="16">
        <v>13.9651</v>
      </c>
      <c r="G36" s="16">
        <v>22.6234</v>
      </c>
      <c r="H36" s="16">
        <v>22.131599999999999</v>
      </c>
      <c r="I36" s="16">
        <v>12.432</v>
      </c>
      <c r="J36" s="16">
        <v>12.5686</v>
      </c>
      <c r="K36" s="60"/>
      <c r="L36" s="60"/>
      <c r="M36" s="60"/>
      <c r="N36" s="60"/>
    </row>
    <row r="37" spans="1:14" x14ac:dyDescent="0.25">
      <c r="A37" s="105">
        <f>$A$19</f>
        <v>0</v>
      </c>
      <c r="B37" s="14" t="s">
        <v>47</v>
      </c>
      <c r="C37" s="21">
        <v>179.4701</v>
      </c>
      <c r="D37" s="21">
        <v>175.5686</v>
      </c>
      <c r="E37" s="16">
        <v>98.621899999999997</v>
      </c>
      <c r="F37" s="16">
        <v>99.705600000000004</v>
      </c>
      <c r="G37" s="16">
        <v>161.5231</v>
      </c>
      <c r="H37" s="16">
        <v>158.01179999999999</v>
      </c>
      <c r="I37" s="16">
        <v>88.759699999999995</v>
      </c>
      <c r="J37" s="16">
        <v>89.735100000000003</v>
      </c>
      <c r="K37" s="60"/>
      <c r="L37" s="60"/>
      <c r="M37" s="60"/>
      <c r="N37" s="60"/>
    </row>
    <row r="38" spans="1:14" x14ac:dyDescent="0.25">
      <c r="A38" s="105">
        <f>$A$20</f>
        <v>0</v>
      </c>
      <c r="B38" s="14" t="s">
        <v>50</v>
      </c>
      <c r="C38" s="21">
        <v>262.33780000000002</v>
      </c>
      <c r="D38" s="21">
        <v>256.63479999999998</v>
      </c>
      <c r="E38" s="16">
        <v>144.15899999999999</v>
      </c>
      <c r="F38" s="16">
        <v>145.7432</v>
      </c>
      <c r="G38" s="16">
        <v>236.10400000000001</v>
      </c>
      <c r="H38" s="16">
        <v>230.97130000000001</v>
      </c>
      <c r="I38" s="16">
        <v>129.7431</v>
      </c>
      <c r="J38" s="16">
        <v>131.16890000000001</v>
      </c>
      <c r="K38" s="60"/>
      <c r="L38" s="60"/>
      <c r="M38" s="60"/>
      <c r="N38" s="60"/>
    </row>
    <row r="39" spans="1:14" x14ac:dyDescent="0.25">
      <c r="A39" s="105">
        <f>$A$21</f>
        <v>0</v>
      </c>
      <c r="B39" s="14" t="s">
        <v>48</v>
      </c>
      <c r="C39" s="21">
        <v>151.42599999999999</v>
      </c>
      <c r="D39" s="21">
        <v>148.13419999999999</v>
      </c>
      <c r="E39" s="16">
        <v>83.211200000000005</v>
      </c>
      <c r="F39" s="16">
        <v>84.125600000000006</v>
      </c>
      <c r="G39" s="16">
        <v>136.2834</v>
      </c>
      <c r="H39" s="16">
        <v>133.32069999999999</v>
      </c>
      <c r="I39" s="16">
        <v>74.89</v>
      </c>
      <c r="J39" s="16">
        <v>75.712999999999994</v>
      </c>
      <c r="K39" s="60"/>
      <c r="L39" s="60"/>
      <c r="M39" s="60"/>
      <c r="N39" s="60"/>
    </row>
    <row r="40" spans="1:14" ht="21" x14ac:dyDescent="0.25">
      <c r="A40" s="105">
        <f>$A$22</f>
        <v>0</v>
      </c>
      <c r="B40" s="14" t="s">
        <v>51</v>
      </c>
      <c r="C40" s="21"/>
      <c r="D40" s="21"/>
      <c r="E40" s="16"/>
      <c r="F40" s="16"/>
      <c r="G40" s="16">
        <v>35.835500000000003</v>
      </c>
      <c r="H40" s="16">
        <v>35.0565</v>
      </c>
      <c r="I40" s="16">
        <v>19.6922</v>
      </c>
      <c r="J40" s="16">
        <v>19.9086</v>
      </c>
      <c r="K40" s="60"/>
      <c r="L40" s="60"/>
      <c r="M40" s="62"/>
      <c r="N40" s="63"/>
    </row>
    <row r="41" spans="1:14" x14ac:dyDescent="0.25">
      <c r="B41" s="11"/>
      <c r="C41" s="106">
        <f>$A$34*C34+$A$35*C35+$A$36*C36+$A$37*C37+$A$38*C38+$A$39*C39+$A$40*C40</f>
        <v>176.6302</v>
      </c>
      <c r="D41" s="107">
        <f t="shared" ref="D41:J41" si="2">$A$34*D34+$A$35*D35+$A$36*D36+$A$37*D37+$A$38*D38+$A$39*D39+$A$40*D40</f>
        <v>172.79040000000001</v>
      </c>
      <c r="E41" s="106">
        <f t="shared" si="2"/>
        <v>97.061300000000003</v>
      </c>
      <c r="F41" s="106">
        <f t="shared" si="2"/>
        <v>98.127899999999997</v>
      </c>
      <c r="G41" s="106">
        <f t="shared" si="2"/>
        <v>158.96719999999999</v>
      </c>
      <c r="H41" s="106">
        <f t="shared" si="2"/>
        <v>155.51140000000001</v>
      </c>
      <c r="I41" s="106">
        <f t="shared" si="2"/>
        <v>87.355199999999996</v>
      </c>
      <c r="J41" s="106">
        <f t="shared" si="2"/>
        <v>88.315100000000001</v>
      </c>
      <c r="K41" s="61"/>
      <c r="L41" s="61"/>
      <c r="M41" s="61"/>
      <c r="N41" s="61"/>
    </row>
    <row r="42" spans="1:14" x14ac:dyDescent="0.25">
      <c r="B42" s="22" t="s">
        <v>64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</row>
    <row r="43" spans="1:14" x14ac:dyDescent="0.25">
      <c r="B43" s="22" t="s">
        <v>65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</row>
    <row r="44" spans="1:14" x14ac:dyDescent="0.25">
      <c r="B44" s="138" t="s">
        <v>66</v>
      </c>
      <c r="C44" s="139" t="s">
        <v>67</v>
      </c>
      <c r="D44" s="139"/>
      <c r="E44" s="139"/>
      <c r="F44" s="140" t="s">
        <v>68</v>
      </c>
      <c r="G44" s="140"/>
      <c r="H44" s="140"/>
      <c r="I44" s="140"/>
      <c r="J44" s="140"/>
      <c r="K44" s="140"/>
      <c r="L44" s="140"/>
      <c r="M44" s="140"/>
      <c r="N44" s="140"/>
    </row>
    <row r="45" spans="1:14" x14ac:dyDescent="0.25">
      <c r="B45" s="138"/>
      <c r="C45" s="52" t="s">
        <v>2</v>
      </c>
      <c r="D45" s="52" t="s">
        <v>3</v>
      </c>
      <c r="E45" s="52" t="s">
        <v>4</v>
      </c>
      <c r="F45" s="52" t="s">
        <v>5</v>
      </c>
      <c r="G45" s="52" t="s">
        <v>6</v>
      </c>
      <c r="H45" s="52" t="s">
        <v>7</v>
      </c>
      <c r="I45" s="52" t="s">
        <v>8</v>
      </c>
      <c r="J45" s="52" t="s">
        <v>9</v>
      </c>
      <c r="K45" s="52" t="s">
        <v>10</v>
      </c>
      <c r="L45" s="52" t="s">
        <v>11</v>
      </c>
      <c r="M45" s="52" t="s">
        <v>12</v>
      </c>
      <c r="N45" s="57" t="s">
        <v>13</v>
      </c>
    </row>
    <row r="46" spans="1:14" x14ac:dyDescent="0.25">
      <c r="B46" s="138" t="s">
        <v>15</v>
      </c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</row>
    <row r="47" spans="1:14" x14ac:dyDescent="0.25">
      <c r="A47" s="104">
        <f>$A$10</f>
        <v>1</v>
      </c>
      <c r="B47" s="14" t="s">
        <v>45</v>
      </c>
      <c r="C47" s="16">
        <v>26.833400000000001</v>
      </c>
      <c r="D47" s="16">
        <v>25.9678</v>
      </c>
      <c r="E47" s="16">
        <v>26.833400000000001</v>
      </c>
      <c r="F47" s="16">
        <v>26.833400000000001</v>
      </c>
      <c r="G47" s="16">
        <v>24.236599999999999</v>
      </c>
      <c r="H47" s="16">
        <v>26.833400000000001</v>
      </c>
      <c r="I47" s="16">
        <v>12.9839</v>
      </c>
      <c r="J47" s="16">
        <v>13.416700000000001</v>
      </c>
      <c r="K47" s="16">
        <v>12.9839</v>
      </c>
      <c r="L47" s="16">
        <v>13.416700000000001</v>
      </c>
      <c r="M47" s="16">
        <v>13.416700000000001</v>
      </c>
      <c r="N47" s="16">
        <v>12.9839</v>
      </c>
    </row>
    <row r="48" spans="1:14" x14ac:dyDescent="0.25">
      <c r="A48" s="104">
        <f>$A$11</f>
        <v>0</v>
      </c>
      <c r="B48" s="14" t="s">
        <v>46</v>
      </c>
      <c r="C48" s="16">
        <v>10.462999999999999</v>
      </c>
      <c r="D48" s="16">
        <v>10.125500000000001</v>
      </c>
      <c r="E48" s="16">
        <v>10.462999999999999</v>
      </c>
      <c r="F48" s="16">
        <v>10.462999999999999</v>
      </c>
      <c r="G48" s="16">
        <v>9.4504999999999999</v>
      </c>
      <c r="H48" s="16">
        <v>10.462999999999999</v>
      </c>
      <c r="I48" s="16">
        <v>5.0628000000000002</v>
      </c>
      <c r="J48" s="16">
        <v>5.2314999999999996</v>
      </c>
      <c r="K48" s="16">
        <v>5.0628000000000002</v>
      </c>
      <c r="L48" s="16">
        <v>5.2314999999999996</v>
      </c>
      <c r="M48" s="16">
        <v>5.2314999999999996</v>
      </c>
      <c r="N48" s="16">
        <v>5.0628000000000002</v>
      </c>
    </row>
    <row r="49" spans="1:14" x14ac:dyDescent="0.25">
      <c r="A49" s="104">
        <f>$A$12</f>
        <v>0</v>
      </c>
      <c r="B49" s="14" t="s">
        <v>16</v>
      </c>
      <c r="C49" s="16">
        <v>17.043299999999999</v>
      </c>
      <c r="D49" s="16">
        <v>16.493500000000001</v>
      </c>
      <c r="E49" s="16">
        <v>17.043299999999999</v>
      </c>
      <c r="F49" s="16">
        <v>17.043299999999999</v>
      </c>
      <c r="G49" s="16">
        <v>15.3939</v>
      </c>
      <c r="H49" s="16">
        <v>17.043299999999999</v>
      </c>
      <c r="I49" s="16">
        <v>8.2468000000000004</v>
      </c>
      <c r="J49" s="16">
        <v>8.5215999999999994</v>
      </c>
      <c r="K49" s="16">
        <v>8.2468000000000004</v>
      </c>
      <c r="L49" s="16">
        <v>8.5215999999999994</v>
      </c>
      <c r="M49" s="16">
        <v>8.5215999999999994</v>
      </c>
      <c r="N49" s="16">
        <v>8.2468000000000004</v>
      </c>
    </row>
    <row r="50" spans="1:14" x14ac:dyDescent="0.25">
      <c r="A50" s="104">
        <f>$A$13</f>
        <v>0</v>
      </c>
      <c r="B50" s="14" t="s">
        <v>47</v>
      </c>
      <c r="C50" s="16">
        <v>40.134</v>
      </c>
      <c r="D50" s="16">
        <v>38.839300000000001</v>
      </c>
      <c r="E50" s="16">
        <v>40.134</v>
      </c>
      <c r="F50" s="16">
        <v>40.134</v>
      </c>
      <c r="G50" s="16">
        <v>36.25</v>
      </c>
      <c r="H50" s="16">
        <v>40.134</v>
      </c>
      <c r="I50" s="16">
        <v>19.419699999999999</v>
      </c>
      <c r="J50" s="16">
        <v>20.067</v>
      </c>
      <c r="K50" s="16">
        <v>19.419699999999999</v>
      </c>
      <c r="L50" s="16">
        <v>20.067</v>
      </c>
      <c r="M50" s="16">
        <v>20.067</v>
      </c>
      <c r="N50" s="16">
        <v>19.419699999999999</v>
      </c>
    </row>
    <row r="51" spans="1:14" x14ac:dyDescent="0.25">
      <c r="A51" s="104">
        <f>$A$14</f>
        <v>0</v>
      </c>
      <c r="B51" s="14" t="s">
        <v>48</v>
      </c>
      <c r="C51" s="16">
        <v>20.9681</v>
      </c>
      <c r="D51" s="16">
        <v>20.291699999999999</v>
      </c>
      <c r="E51" s="16">
        <v>20.9681</v>
      </c>
      <c r="F51" s="16">
        <v>20.9681</v>
      </c>
      <c r="G51" s="16">
        <v>18.9389</v>
      </c>
      <c r="H51" s="16">
        <v>20.9681</v>
      </c>
      <c r="I51" s="16">
        <v>10.145899999999999</v>
      </c>
      <c r="J51" s="16">
        <v>10.4841</v>
      </c>
      <c r="K51" s="16">
        <v>10.145899999999999</v>
      </c>
      <c r="L51" s="16">
        <v>10.4841</v>
      </c>
      <c r="M51" s="16">
        <v>10.4841</v>
      </c>
      <c r="N51" s="16">
        <v>10.145899999999999</v>
      </c>
    </row>
    <row r="52" spans="1:14" ht="21" x14ac:dyDescent="0.25">
      <c r="B52" s="50" t="s">
        <v>17</v>
      </c>
      <c r="C52" s="102">
        <f>$A$47*C47+$A$48*C48+$A$49*C49+$A$50*C50+$A$51*C51</f>
        <v>26.833400000000001</v>
      </c>
      <c r="D52" s="102">
        <f>$A$47*D47+$A$48*D48+$A$49*D49+$A$50*D50+$A$51*D51</f>
        <v>25.9678</v>
      </c>
      <c r="E52" s="102">
        <f t="shared" ref="E52:N52" si="3">$A$47*E47+$A$48*E48+$A$49*E49+$A$50*E50+$A$51*E51</f>
        <v>26.833400000000001</v>
      </c>
      <c r="F52" s="102">
        <f t="shared" si="3"/>
        <v>26.833400000000001</v>
      </c>
      <c r="G52" s="102">
        <f t="shared" si="3"/>
        <v>24.236599999999999</v>
      </c>
      <c r="H52" s="102">
        <f t="shared" si="3"/>
        <v>26.833400000000001</v>
      </c>
      <c r="I52" s="102">
        <f t="shared" si="3"/>
        <v>12.9839</v>
      </c>
      <c r="J52" s="102">
        <f t="shared" si="3"/>
        <v>13.416700000000001</v>
      </c>
      <c r="K52" s="102">
        <f t="shared" si="3"/>
        <v>12.9839</v>
      </c>
      <c r="L52" s="102">
        <f t="shared" si="3"/>
        <v>13.416700000000001</v>
      </c>
      <c r="M52" s="102">
        <f t="shared" si="3"/>
        <v>13.416700000000001</v>
      </c>
      <c r="N52" s="102">
        <f t="shared" si="3"/>
        <v>12.9839</v>
      </c>
    </row>
    <row r="53" spans="1:14" ht="21" x14ac:dyDescent="0.25">
      <c r="A53" s="105">
        <f>$A$16</f>
        <v>1</v>
      </c>
      <c r="B53" s="14" t="s">
        <v>18</v>
      </c>
      <c r="C53" s="16">
        <v>66.1297</v>
      </c>
      <c r="D53" s="16">
        <v>63.996400000000001</v>
      </c>
      <c r="E53" s="16">
        <v>66.1297</v>
      </c>
      <c r="F53" s="16">
        <v>66.1297</v>
      </c>
      <c r="G53" s="16">
        <v>59.73</v>
      </c>
      <c r="H53" s="16">
        <v>66.1297</v>
      </c>
      <c r="I53" s="16">
        <v>31.998200000000001</v>
      </c>
      <c r="J53" s="16">
        <v>33.064799999999998</v>
      </c>
      <c r="K53" s="16">
        <v>31.998200000000001</v>
      </c>
      <c r="L53" s="16">
        <v>33.064799999999998</v>
      </c>
      <c r="M53" s="16">
        <v>33.064799999999998</v>
      </c>
      <c r="N53" s="16">
        <v>31.998200000000001</v>
      </c>
    </row>
    <row r="54" spans="1:14" ht="21" x14ac:dyDescent="0.25">
      <c r="A54" s="105">
        <f>$A$17</f>
        <v>0</v>
      </c>
      <c r="B54" s="14" t="s">
        <v>69</v>
      </c>
      <c r="C54" s="16">
        <v>20.9681</v>
      </c>
      <c r="D54" s="16">
        <v>20.291699999999999</v>
      </c>
      <c r="E54" s="16">
        <v>20.9681</v>
      </c>
      <c r="F54" s="16">
        <v>20.9681</v>
      </c>
      <c r="G54" s="16">
        <v>18.9389</v>
      </c>
      <c r="H54" s="16">
        <v>20.9681</v>
      </c>
      <c r="I54" s="16">
        <v>10.145899999999999</v>
      </c>
      <c r="J54" s="16">
        <v>10.4841</v>
      </c>
      <c r="K54" s="16">
        <v>10.145899999999999</v>
      </c>
      <c r="L54" s="16">
        <v>10.4841</v>
      </c>
      <c r="M54" s="16">
        <v>10.4841</v>
      </c>
      <c r="N54" s="16">
        <v>10.145899999999999</v>
      </c>
    </row>
    <row r="55" spans="1:14" x14ac:dyDescent="0.25">
      <c r="A55" s="105">
        <f>$A$18</f>
        <v>0</v>
      </c>
      <c r="B55" s="14" t="s">
        <v>49</v>
      </c>
      <c r="C55" s="16">
        <v>9.4111999999999991</v>
      </c>
      <c r="D55" s="16">
        <v>9.1076999999999995</v>
      </c>
      <c r="E55" s="16">
        <v>9.4111999999999991</v>
      </c>
      <c r="F55" s="16">
        <v>9.4111999999999991</v>
      </c>
      <c r="G55" s="16">
        <v>8.5005000000000006</v>
      </c>
      <c r="H55" s="16">
        <v>9.4111999999999991</v>
      </c>
      <c r="I55" s="16">
        <v>4.5537999999999998</v>
      </c>
      <c r="J55" s="16">
        <v>4.7055999999999996</v>
      </c>
      <c r="K55" s="16">
        <v>4.5537999999999998</v>
      </c>
      <c r="L55" s="16">
        <v>4.7055999999999996</v>
      </c>
      <c r="M55" s="16">
        <v>4.7055999999999996</v>
      </c>
      <c r="N55" s="16">
        <v>4.5537999999999998</v>
      </c>
    </row>
    <row r="56" spans="1:14" x14ac:dyDescent="0.25">
      <c r="A56" s="105">
        <f>$A$19</f>
        <v>0</v>
      </c>
      <c r="B56" s="14" t="s">
        <v>47</v>
      </c>
      <c r="C56" s="16">
        <v>67.192899999999995</v>
      </c>
      <c r="D56" s="16">
        <v>65.025400000000005</v>
      </c>
      <c r="E56" s="16">
        <v>67.192899999999995</v>
      </c>
      <c r="F56" s="16">
        <v>67.192899999999995</v>
      </c>
      <c r="G56" s="16">
        <v>60.690399999999997</v>
      </c>
      <c r="H56" s="16">
        <v>67.192899999999995</v>
      </c>
      <c r="I56" s="16">
        <v>32.512700000000002</v>
      </c>
      <c r="J56" s="16">
        <v>33.596499999999999</v>
      </c>
      <c r="K56" s="16">
        <v>32.512700000000002</v>
      </c>
      <c r="L56" s="16">
        <v>33.596499999999999</v>
      </c>
      <c r="M56" s="16">
        <v>33.596499999999999</v>
      </c>
      <c r="N56" s="16">
        <v>32.512700000000002</v>
      </c>
    </row>
    <row r="57" spans="1:14" x14ac:dyDescent="0.25">
      <c r="A57" s="105">
        <f>$A$20</f>
        <v>0</v>
      </c>
      <c r="B57" s="14" t="s">
        <v>50</v>
      </c>
      <c r="C57" s="16">
        <v>98.218199999999996</v>
      </c>
      <c r="D57" s="16">
        <v>95.049899999999994</v>
      </c>
      <c r="E57" s="16">
        <v>98.218199999999996</v>
      </c>
      <c r="F57" s="16">
        <v>98.218199999999996</v>
      </c>
      <c r="G57" s="16">
        <v>88.713300000000004</v>
      </c>
      <c r="H57" s="16">
        <v>98.218199999999996</v>
      </c>
      <c r="I57" s="16">
        <v>47.524999999999999</v>
      </c>
      <c r="J57" s="16">
        <v>49.109099999999998</v>
      </c>
      <c r="K57" s="16">
        <v>47.524999999999999</v>
      </c>
      <c r="L57" s="16">
        <v>49.109099999999998</v>
      </c>
      <c r="M57" s="16">
        <v>49.109099999999998</v>
      </c>
      <c r="N57" s="16">
        <v>47.524999999999999</v>
      </c>
    </row>
    <row r="58" spans="1:14" x14ac:dyDescent="0.25">
      <c r="A58" s="105">
        <f>$A$21</f>
        <v>0</v>
      </c>
      <c r="B58" s="14" t="s">
        <v>48</v>
      </c>
      <c r="C58" s="16">
        <v>56.693300000000001</v>
      </c>
      <c r="D58" s="16">
        <v>54.8645</v>
      </c>
      <c r="E58" s="16">
        <v>56.693300000000001</v>
      </c>
      <c r="F58" s="16">
        <v>56.693300000000001</v>
      </c>
      <c r="G58" s="16">
        <v>51.206899999999997</v>
      </c>
      <c r="H58" s="16">
        <v>56.693300000000001</v>
      </c>
      <c r="I58" s="16">
        <v>27.432300000000001</v>
      </c>
      <c r="J58" s="16">
        <v>28.346699999999998</v>
      </c>
      <c r="K58" s="16">
        <v>27.432300000000001</v>
      </c>
      <c r="L58" s="16">
        <v>28.346699999999998</v>
      </c>
      <c r="M58" s="16">
        <v>28.346699999999998</v>
      </c>
      <c r="N58" s="16">
        <v>27.432300000000001</v>
      </c>
    </row>
    <row r="59" spans="1:14" x14ac:dyDescent="0.25">
      <c r="A59" s="105">
        <f>$A$22</f>
        <v>0</v>
      </c>
      <c r="B59" s="11"/>
      <c r="C59" s="108">
        <f>$A$53*C53+$A$54*C54+$A$55*C55+$A$56*C56+$A$57*C57+$A$58*C58</f>
        <v>66.1297</v>
      </c>
      <c r="D59" s="108">
        <f t="shared" ref="D59:N59" si="4">$A$53*D53+$A$54*D54+$A$55*D55+$A$56*D56+$A$57*D57+$A$58*D58</f>
        <v>63.996400000000001</v>
      </c>
      <c r="E59" s="108">
        <f t="shared" si="4"/>
        <v>66.1297</v>
      </c>
      <c r="F59" s="108">
        <f t="shared" si="4"/>
        <v>66.1297</v>
      </c>
      <c r="G59" s="108">
        <f t="shared" si="4"/>
        <v>59.73</v>
      </c>
      <c r="H59" s="108">
        <f t="shared" si="4"/>
        <v>66.1297</v>
      </c>
      <c r="I59" s="108">
        <f t="shared" si="4"/>
        <v>31.998200000000001</v>
      </c>
      <c r="J59" s="108">
        <f t="shared" si="4"/>
        <v>33.064799999999998</v>
      </c>
      <c r="K59" s="108">
        <f t="shared" si="4"/>
        <v>31.998200000000001</v>
      </c>
      <c r="L59" s="108">
        <f t="shared" si="4"/>
        <v>33.064799999999998</v>
      </c>
      <c r="M59" s="108">
        <f t="shared" si="4"/>
        <v>33.064799999999998</v>
      </c>
      <c r="N59" s="108">
        <f t="shared" si="4"/>
        <v>31.998200000000001</v>
      </c>
    </row>
    <row r="60" spans="1:14" x14ac:dyDescent="0.25">
      <c r="B60" s="22" t="s">
        <v>70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</row>
    <row r="61" spans="1:14" x14ac:dyDescent="0.25">
      <c r="B61" s="138" t="s">
        <v>66</v>
      </c>
      <c r="C61" s="139" t="s">
        <v>67</v>
      </c>
      <c r="D61" s="139"/>
      <c r="E61" s="139"/>
      <c r="F61" s="140" t="s">
        <v>68</v>
      </c>
      <c r="G61" s="140"/>
      <c r="H61" s="140"/>
      <c r="I61" s="140"/>
      <c r="J61" s="140"/>
      <c r="K61" s="140"/>
      <c r="L61" s="140"/>
      <c r="M61" s="140"/>
      <c r="N61" s="140"/>
    </row>
    <row r="62" spans="1:14" x14ac:dyDescent="0.25">
      <c r="B62" s="138"/>
      <c r="C62" s="52" t="s">
        <v>2</v>
      </c>
      <c r="D62" s="52" t="s">
        <v>3</v>
      </c>
      <c r="E62" s="52" t="s">
        <v>4</v>
      </c>
      <c r="F62" s="52" t="s">
        <v>5</v>
      </c>
      <c r="G62" s="52" t="s">
        <v>6</v>
      </c>
      <c r="H62" s="52" t="s">
        <v>7</v>
      </c>
      <c r="I62" s="52" t="s">
        <v>8</v>
      </c>
      <c r="J62" s="52" t="s">
        <v>9</v>
      </c>
      <c r="K62" s="52" t="s">
        <v>10</v>
      </c>
      <c r="L62" s="52" t="s">
        <v>11</v>
      </c>
      <c r="M62" s="52" t="s">
        <v>12</v>
      </c>
      <c r="N62" s="57" t="s">
        <v>13</v>
      </c>
    </row>
    <row r="63" spans="1:14" x14ac:dyDescent="0.25">
      <c r="B63" s="138" t="s">
        <v>15</v>
      </c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38"/>
    </row>
    <row r="64" spans="1:14" x14ac:dyDescent="0.25">
      <c r="A64" s="104">
        <f>$A$10</f>
        <v>1</v>
      </c>
      <c r="B64" s="14" t="s">
        <v>45</v>
      </c>
      <c r="C64" s="16">
        <v>24.15</v>
      </c>
      <c r="D64" s="16">
        <v>23.370999999999999</v>
      </c>
      <c r="E64" s="16">
        <v>24.15</v>
      </c>
      <c r="F64" s="16">
        <v>24.15</v>
      </c>
      <c r="G64" s="16">
        <v>21.812899999999999</v>
      </c>
      <c r="H64" s="16">
        <v>24.15</v>
      </c>
      <c r="I64" s="16">
        <v>11.685499999999999</v>
      </c>
      <c r="J64" s="16">
        <v>12.074999999999999</v>
      </c>
      <c r="K64" s="16">
        <v>11.685499999999999</v>
      </c>
      <c r="L64" s="16">
        <v>12.074999999999999</v>
      </c>
      <c r="M64" s="16">
        <v>12.074999999999999</v>
      </c>
      <c r="N64" s="16">
        <v>11.685499999999999</v>
      </c>
    </row>
    <row r="65" spans="1:14" x14ac:dyDescent="0.25">
      <c r="A65" s="104">
        <f>$A$11</f>
        <v>0</v>
      </c>
      <c r="B65" s="14" t="s">
        <v>46</v>
      </c>
      <c r="C65" s="16">
        <v>9.4167000000000005</v>
      </c>
      <c r="D65" s="16">
        <v>9.1129999999999995</v>
      </c>
      <c r="E65" s="16">
        <v>9.4167000000000005</v>
      </c>
      <c r="F65" s="16">
        <v>9.4167000000000005</v>
      </c>
      <c r="G65" s="16">
        <v>8.5053999999999998</v>
      </c>
      <c r="H65" s="16">
        <v>9.4167000000000005</v>
      </c>
      <c r="I65" s="16">
        <v>4.5564999999999998</v>
      </c>
      <c r="J65" s="16">
        <v>4.7084000000000001</v>
      </c>
      <c r="K65" s="16">
        <v>4.5564999999999998</v>
      </c>
      <c r="L65" s="16">
        <v>4.7084000000000001</v>
      </c>
      <c r="M65" s="16">
        <v>4.7084000000000001</v>
      </c>
      <c r="N65" s="16">
        <v>4.5564999999999998</v>
      </c>
    </row>
    <row r="66" spans="1:14" x14ac:dyDescent="0.25">
      <c r="A66" s="104">
        <f>$A$12</f>
        <v>0</v>
      </c>
      <c r="B66" s="14" t="s">
        <v>16</v>
      </c>
      <c r="C66" s="16">
        <v>15.339</v>
      </c>
      <c r="D66" s="16">
        <v>14.844200000000001</v>
      </c>
      <c r="E66" s="16">
        <v>15.339</v>
      </c>
      <c r="F66" s="16">
        <v>15.339</v>
      </c>
      <c r="G66" s="16">
        <v>13.8546</v>
      </c>
      <c r="H66" s="16">
        <v>15.339</v>
      </c>
      <c r="I66" s="16">
        <v>7.4221000000000004</v>
      </c>
      <c r="J66" s="16">
        <v>7.6695000000000002</v>
      </c>
      <c r="K66" s="16">
        <v>7.4221000000000004</v>
      </c>
      <c r="L66" s="16">
        <v>7.6695000000000002</v>
      </c>
      <c r="M66" s="16">
        <v>7.6695000000000002</v>
      </c>
      <c r="N66" s="16">
        <v>7.4221000000000004</v>
      </c>
    </row>
    <row r="67" spans="1:14" x14ac:dyDescent="0.25">
      <c r="A67" s="104">
        <f>$A$13</f>
        <v>0</v>
      </c>
      <c r="B67" s="14" t="s">
        <v>47</v>
      </c>
      <c r="C67" s="16">
        <v>36.120600000000003</v>
      </c>
      <c r="D67" s="16">
        <v>34.955399999999997</v>
      </c>
      <c r="E67" s="16">
        <v>36.120600000000003</v>
      </c>
      <c r="F67" s="16">
        <v>36.120600000000003</v>
      </c>
      <c r="G67" s="16">
        <v>32.625</v>
      </c>
      <c r="H67" s="16">
        <v>36.120600000000003</v>
      </c>
      <c r="I67" s="16">
        <v>17.477699999999999</v>
      </c>
      <c r="J67" s="16">
        <v>18.060300000000002</v>
      </c>
      <c r="K67" s="16">
        <v>17.477699999999999</v>
      </c>
      <c r="L67" s="16">
        <v>18.060300000000002</v>
      </c>
      <c r="M67" s="16">
        <v>18.060300000000002</v>
      </c>
      <c r="N67" s="16">
        <v>17.477699999999999</v>
      </c>
    </row>
    <row r="68" spans="1:14" x14ac:dyDescent="0.25">
      <c r="A68" s="104">
        <f>$A$14</f>
        <v>0</v>
      </c>
      <c r="B68" s="14" t="s">
        <v>48</v>
      </c>
      <c r="C68" s="16">
        <v>18.871300000000002</v>
      </c>
      <c r="D68" s="16">
        <v>18.262599999999999</v>
      </c>
      <c r="E68" s="16">
        <v>18.871300000000002</v>
      </c>
      <c r="F68" s="16">
        <v>18.871300000000002</v>
      </c>
      <c r="G68" s="16">
        <v>17.045100000000001</v>
      </c>
      <c r="H68" s="16">
        <v>18.871300000000002</v>
      </c>
      <c r="I68" s="16">
        <v>9.1312999999999995</v>
      </c>
      <c r="J68" s="16">
        <v>9.4357000000000006</v>
      </c>
      <c r="K68" s="16">
        <v>9.1312999999999995</v>
      </c>
      <c r="L68" s="16">
        <v>9.4357000000000006</v>
      </c>
      <c r="M68" s="16">
        <v>9.4357000000000006</v>
      </c>
      <c r="N68" s="16">
        <v>9.1312999999999995</v>
      </c>
    </row>
    <row r="69" spans="1:14" ht="21" x14ac:dyDescent="0.25">
      <c r="B69" s="50" t="s">
        <v>100</v>
      </c>
      <c r="C69" s="109">
        <f>$A$64*C64+$A$65*C65+$A$66*C66+$A$67*C67+$A$68*C68</f>
        <v>24.15</v>
      </c>
      <c r="D69" s="110">
        <f t="shared" ref="D69:N69" si="5">$A$64*D64+$A$65*D65+$A$66*D66+$A$67*D67+$A$68*D68</f>
        <v>23.370999999999999</v>
      </c>
      <c r="E69" s="110">
        <f t="shared" si="5"/>
        <v>24.15</v>
      </c>
      <c r="F69" s="110">
        <f t="shared" si="5"/>
        <v>24.15</v>
      </c>
      <c r="G69" s="110">
        <f t="shared" si="5"/>
        <v>21.812899999999999</v>
      </c>
      <c r="H69" s="110">
        <f t="shared" si="5"/>
        <v>24.15</v>
      </c>
      <c r="I69" s="110">
        <f t="shared" si="5"/>
        <v>11.685499999999999</v>
      </c>
      <c r="J69" s="110">
        <f t="shared" si="5"/>
        <v>12.074999999999999</v>
      </c>
      <c r="K69" s="110">
        <f t="shared" si="5"/>
        <v>11.685499999999999</v>
      </c>
      <c r="L69" s="110">
        <f t="shared" si="5"/>
        <v>12.074999999999999</v>
      </c>
      <c r="M69" s="110">
        <f t="shared" si="5"/>
        <v>12.074999999999999</v>
      </c>
      <c r="N69" s="110">
        <f t="shared" si="5"/>
        <v>11.685499999999999</v>
      </c>
    </row>
    <row r="70" spans="1:14" ht="21" x14ac:dyDescent="0.25">
      <c r="A70" s="105">
        <f>$A$16</f>
        <v>1</v>
      </c>
      <c r="B70" s="14" t="s">
        <v>18</v>
      </c>
      <c r="C70" s="16">
        <v>59.5167</v>
      </c>
      <c r="D70" s="16">
        <v>57.596800000000002</v>
      </c>
      <c r="E70" s="16">
        <v>59.5167</v>
      </c>
      <c r="F70" s="14">
        <v>59.5167</v>
      </c>
      <c r="G70" s="16">
        <v>53.756999999999998</v>
      </c>
      <c r="H70" s="16">
        <v>59.5167</v>
      </c>
      <c r="I70" s="14">
        <v>28.798400000000001</v>
      </c>
      <c r="J70" s="16">
        <v>29.758299999999998</v>
      </c>
      <c r="K70" s="16">
        <v>28.798400000000001</v>
      </c>
      <c r="L70" s="16">
        <v>29.758299999999998</v>
      </c>
      <c r="M70" s="14">
        <v>29.758299999999998</v>
      </c>
      <c r="N70" s="16">
        <v>28.798400000000001</v>
      </c>
    </row>
    <row r="71" spans="1:14" ht="21" x14ac:dyDescent="0.25">
      <c r="A71" s="105">
        <f>$A$17</f>
        <v>0</v>
      </c>
      <c r="B71" s="14" t="s">
        <v>19</v>
      </c>
      <c r="C71" s="16">
        <v>18.871300000000002</v>
      </c>
      <c r="D71" s="16">
        <v>18.262599999999999</v>
      </c>
      <c r="E71" s="16">
        <v>18.871300000000002</v>
      </c>
      <c r="F71" s="14">
        <v>18.871300000000002</v>
      </c>
      <c r="G71" s="16">
        <v>17.045100000000001</v>
      </c>
      <c r="H71" s="16">
        <v>18.871300000000002</v>
      </c>
      <c r="I71" s="14">
        <v>9.1312999999999995</v>
      </c>
      <c r="J71" s="16">
        <v>9.4357000000000006</v>
      </c>
      <c r="K71" s="16">
        <v>9.1312999999999995</v>
      </c>
      <c r="L71" s="16">
        <v>9.4357000000000006</v>
      </c>
      <c r="M71" s="14">
        <v>9.4357000000000006</v>
      </c>
      <c r="N71" s="16">
        <v>9.1312999999999995</v>
      </c>
    </row>
    <row r="72" spans="1:14" x14ac:dyDescent="0.25">
      <c r="A72" s="105">
        <f>$A$18</f>
        <v>0</v>
      </c>
      <c r="B72" s="14" t="s">
        <v>49</v>
      </c>
      <c r="C72" s="16">
        <v>8.4701000000000004</v>
      </c>
      <c r="D72" s="16">
        <v>8.1968999999999994</v>
      </c>
      <c r="E72" s="16">
        <v>8.4701000000000004</v>
      </c>
      <c r="F72" s="14">
        <v>8.4701000000000004</v>
      </c>
      <c r="G72" s="16">
        <v>7.6504000000000003</v>
      </c>
      <c r="H72" s="16">
        <v>8.4701000000000004</v>
      </c>
      <c r="I72" s="14">
        <v>4.0983999999999998</v>
      </c>
      <c r="J72" s="16">
        <v>4.2351000000000001</v>
      </c>
      <c r="K72" s="16">
        <v>4.0983999999999998</v>
      </c>
      <c r="L72" s="16">
        <v>4.2351000000000001</v>
      </c>
      <c r="M72" s="14">
        <v>4.2351000000000001</v>
      </c>
      <c r="N72" s="16">
        <v>4.0983999999999998</v>
      </c>
    </row>
    <row r="73" spans="1:14" x14ac:dyDescent="0.25">
      <c r="A73" s="105">
        <f>$A$19</f>
        <v>0</v>
      </c>
      <c r="B73" s="14" t="s">
        <v>47</v>
      </c>
      <c r="C73" s="16">
        <v>60.473599999999998</v>
      </c>
      <c r="D73" s="16">
        <v>58.5229</v>
      </c>
      <c r="E73" s="16">
        <v>60.473599999999998</v>
      </c>
      <c r="F73" s="14">
        <v>60.473599999999998</v>
      </c>
      <c r="G73" s="16">
        <v>54.621299999999998</v>
      </c>
      <c r="H73" s="16">
        <v>60.473599999999998</v>
      </c>
      <c r="I73" s="14">
        <v>29.261399999999998</v>
      </c>
      <c r="J73" s="16">
        <v>30.236799999999999</v>
      </c>
      <c r="K73" s="16">
        <v>29.261399999999998</v>
      </c>
      <c r="L73" s="16">
        <v>30.236799999999999</v>
      </c>
      <c r="M73" s="14">
        <v>30.236799999999999</v>
      </c>
      <c r="N73" s="16">
        <v>29.261399999999998</v>
      </c>
    </row>
    <row r="74" spans="1:14" x14ac:dyDescent="0.25">
      <c r="A74" s="105">
        <f>$A$20</f>
        <v>0</v>
      </c>
      <c r="B74" s="14" t="s">
        <v>50</v>
      </c>
      <c r="C74" s="16">
        <v>88.3964</v>
      </c>
      <c r="D74" s="16">
        <v>85.544899999999998</v>
      </c>
      <c r="E74" s="16">
        <v>88.3964</v>
      </c>
      <c r="F74" s="14">
        <v>88.3964</v>
      </c>
      <c r="G74" s="16">
        <v>79.841899999999995</v>
      </c>
      <c r="H74" s="16">
        <v>88.3964</v>
      </c>
      <c r="I74" s="14">
        <v>42.772500000000001</v>
      </c>
      <c r="J74" s="16">
        <v>44.1982</v>
      </c>
      <c r="K74" s="16">
        <v>42.772500000000001</v>
      </c>
      <c r="L74" s="16">
        <v>44.1982</v>
      </c>
      <c r="M74" s="14">
        <v>44.1982</v>
      </c>
      <c r="N74" s="16">
        <v>42.772500000000001</v>
      </c>
    </row>
    <row r="75" spans="1:14" x14ac:dyDescent="0.25">
      <c r="A75" s="105">
        <f>$A$21</f>
        <v>0</v>
      </c>
      <c r="B75" s="14" t="s">
        <v>48</v>
      </c>
      <c r="C75" s="16">
        <v>51.024000000000001</v>
      </c>
      <c r="D75" s="16">
        <v>49.378100000000003</v>
      </c>
      <c r="E75" s="16">
        <v>51.024000000000001</v>
      </c>
      <c r="F75" s="14">
        <v>51.024000000000001</v>
      </c>
      <c r="G75" s="16">
        <v>46.086199999999998</v>
      </c>
      <c r="H75" s="16">
        <v>51.024000000000001</v>
      </c>
      <c r="I75" s="14">
        <v>24.689</v>
      </c>
      <c r="J75" s="16">
        <v>25.512</v>
      </c>
      <c r="K75" s="16">
        <v>24.689</v>
      </c>
      <c r="L75" s="16">
        <v>25.512</v>
      </c>
      <c r="M75" s="14">
        <v>25.512</v>
      </c>
      <c r="N75" s="16">
        <v>24.689</v>
      </c>
    </row>
    <row r="76" spans="1:14" ht="21" x14ac:dyDescent="0.25">
      <c r="A76" s="105">
        <f>$A$22</f>
        <v>0</v>
      </c>
      <c r="B76" s="14" t="s">
        <v>51</v>
      </c>
      <c r="C76" s="16">
        <v>13.416700000000001</v>
      </c>
      <c r="D76" s="16">
        <v>12.9839</v>
      </c>
      <c r="E76" s="16">
        <v>13.416700000000001</v>
      </c>
      <c r="F76" s="14">
        <v>13.416700000000001</v>
      </c>
      <c r="G76" s="16">
        <v>12.1183</v>
      </c>
      <c r="H76" s="16">
        <v>13.416700000000001</v>
      </c>
      <c r="I76" s="14">
        <v>6.4919000000000002</v>
      </c>
      <c r="J76" s="16">
        <v>6.7083000000000004</v>
      </c>
      <c r="K76" s="16">
        <v>6.4919000000000002</v>
      </c>
      <c r="L76" s="16">
        <v>6.7083000000000004</v>
      </c>
      <c r="M76" s="14">
        <v>6.7083000000000004</v>
      </c>
      <c r="N76" s="16">
        <v>6.4919000000000002</v>
      </c>
    </row>
    <row r="77" spans="1:14" x14ac:dyDescent="0.25">
      <c r="B77" s="11"/>
      <c r="C77" s="106">
        <f>$A$70*C70+$A$71*C71+$A$72*C72+$A$73*C73+$A$74*C74+$A$75*C75+$A$76*C76</f>
        <v>59.5167</v>
      </c>
      <c r="D77" s="106">
        <f t="shared" ref="D77:N77" si="6">$A$70*D70+$A$71*D71+$A$72*D72+$A$73*D73+$A$74*D74+$A$75*D75+$A$76*D76</f>
        <v>57.596800000000002</v>
      </c>
      <c r="E77" s="106">
        <f t="shared" si="6"/>
        <v>59.5167</v>
      </c>
      <c r="F77" s="106">
        <f t="shared" si="6"/>
        <v>59.5167</v>
      </c>
      <c r="G77" s="106">
        <f t="shared" si="6"/>
        <v>53.756999999999998</v>
      </c>
      <c r="H77" s="106">
        <f t="shared" si="6"/>
        <v>59.5167</v>
      </c>
      <c r="I77" s="106">
        <f t="shared" si="6"/>
        <v>28.798400000000001</v>
      </c>
      <c r="J77" s="106">
        <f t="shared" si="6"/>
        <v>29.758299999999998</v>
      </c>
      <c r="K77" s="106">
        <f t="shared" si="6"/>
        <v>28.798400000000001</v>
      </c>
      <c r="L77" s="106">
        <f t="shared" si="6"/>
        <v>29.758299999999998</v>
      </c>
      <c r="M77" s="106">
        <f t="shared" si="6"/>
        <v>29.758299999999998</v>
      </c>
      <c r="N77" s="106">
        <f t="shared" si="6"/>
        <v>28.798400000000001</v>
      </c>
    </row>
    <row r="78" spans="1:14" x14ac:dyDescent="0.25">
      <c r="B78" s="8" t="s">
        <v>71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</row>
    <row r="79" spans="1:14" x14ac:dyDescent="0.25">
      <c r="B79" s="8" t="s">
        <v>72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</row>
    <row r="80" spans="1:14" x14ac:dyDescent="0.25">
      <c r="B80" s="146" t="s">
        <v>73</v>
      </c>
      <c r="C80" s="145" t="s">
        <v>67</v>
      </c>
      <c r="D80" s="145"/>
      <c r="E80" s="145"/>
      <c r="F80" s="140" t="s">
        <v>74</v>
      </c>
      <c r="G80" s="140"/>
      <c r="H80" s="140"/>
      <c r="I80" s="140"/>
      <c r="J80" s="140"/>
      <c r="K80" s="140"/>
      <c r="L80" s="140"/>
      <c r="M80" s="140"/>
      <c r="N80" s="140"/>
    </row>
    <row r="81" spans="1:14" x14ac:dyDescent="0.25">
      <c r="B81" s="146"/>
      <c r="C81" s="52" t="s">
        <v>2</v>
      </c>
      <c r="D81" s="52" t="s">
        <v>3</v>
      </c>
      <c r="E81" s="52" t="s">
        <v>4</v>
      </c>
      <c r="F81" s="52" t="s">
        <v>5</v>
      </c>
      <c r="G81" s="52" t="s">
        <v>6</v>
      </c>
      <c r="H81" s="52" t="s">
        <v>7</v>
      </c>
      <c r="I81" s="52" t="s">
        <v>8</v>
      </c>
      <c r="J81" s="52" t="s">
        <v>9</v>
      </c>
      <c r="K81" s="52" t="s">
        <v>10</v>
      </c>
      <c r="L81" s="52" t="s">
        <v>11</v>
      </c>
      <c r="M81" s="52" t="s">
        <v>12</v>
      </c>
      <c r="N81" s="57" t="s">
        <v>13</v>
      </c>
    </row>
    <row r="82" spans="1:14" x14ac:dyDescent="0.25">
      <c r="B82" s="138" t="s">
        <v>97</v>
      </c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</row>
    <row r="83" spans="1:14" x14ac:dyDescent="0.25">
      <c r="A83" s="104">
        <f>$A$10</f>
        <v>1</v>
      </c>
      <c r="B83" s="14" t="s">
        <v>45</v>
      </c>
      <c r="C83" s="16">
        <v>1.2984</v>
      </c>
      <c r="D83" s="16">
        <v>1.2984</v>
      </c>
      <c r="E83" s="16">
        <v>1.2984</v>
      </c>
      <c r="F83" s="16">
        <v>1.2984</v>
      </c>
      <c r="G83" s="16">
        <v>1.2984</v>
      </c>
      <c r="H83" s="16">
        <v>1.2984</v>
      </c>
      <c r="I83" s="16">
        <v>0.86560000000000004</v>
      </c>
      <c r="J83" s="16">
        <v>0.86560000000000004</v>
      </c>
      <c r="K83" s="16">
        <v>0.86560000000000004</v>
      </c>
      <c r="L83" s="16">
        <v>0.86560000000000004</v>
      </c>
      <c r="M83" s="16">
        <v>0.86560000000000004</v>
      </c>
      <c r="N83" s="16">
        <v>0.86560000000000004</v>
      </c>
    </row>
    <row r="84" spans="1:14" x14ac:dyDescent="0.25">
      <c r="A84" s="104">
        <f>$A$11</f>
        <v>0</v>
      </c>
      <c r="B84" s="14" t="s">
        <v>46</v>
      </c>
      <c r="C84" s="16">
        <v>0.50629999999999997</v>
      </c>
      <c r="D84" s="16">
        <v>0.50629999999999997</v>
      </c>
      <c r="E84" s="16">
        <v>0.50629999999999997</v>
      </c>
      <c r="F84" s="16">
        <v>0.50629999999999997</v>
      </c>
      <c r="G84" s="16">
        <v>0.50629999999999997</v>
      </c>
      <c r="H84" s="16">
        <v>0.50629999999999997</v>
      </c>
      <c r="I84" s="16">
        <v>0.33750000000000002</v>
      </c>
      <c r="J84" s="16">
        <v>0.33750000000000002</v>
      </c>
      <c r="K84" s="16">
        <v>0.33750000000000002</v>
      </c>
      <c r="L84" s="16">
        <v>0.33750000000000002</v>
      </c>
      <c r="M84" s="16">
        <v>0.33750000000000002</v>
      </c>
      <c r="N84" s="16">
        <v>0.33750000000000002</v>
      </c>
    </row>
    <row r="85" spans="1:14" x14ac:dyDescent="0.25">
      <c r="A85" s="104">
        <f>$A$12</f>
        <v>0</v>
      </c>
      <c r="B85" s="14" t="s">
        <v>16</v>
      </c>
      <c r="C85" s="16">
        <v>0.82469999999999999</v>
      </c>
      <c r="D85" s="16">
        <v>0.82469999999999999</v>
      </c>
      <c r="E85" s="16">
        <v>0.82469999999999999</v>
      </c>
      <c r="F85" s="16">
        <v>0.82469999999999999</v>
      </c>
      <c r="G85" s="16">
        <v>0.82469999999999999</v>
      </c>
      <c r="H85" s="16">
        <v>0.82469999999999999</v>
      </c>
      <c r="I85" s="16">
        <v>0.54979999999999996</v>
      </c>
      <c r="J85" s="16">
        <v>0.54979999999999996</v>
      </c>
      <c r="K85" s="16">
        <v>0.54979999999999996</v>
      </c>
      <c r="L85" s="16">
        <v>0.54979999999999996</v>
      </c>
      <c r="M85" s="16">
        <v>0.54979999999999996</v>
      </c>
      <c r="N85" s="16">
        <v>0.54979999999999996</v>
      </c>
    </row>
    <row r="86" spans="1:14" x14ac:dyDescent="0.25">
      <c r="A86" s="104">
        <f>$A$13</f>
        <v>0</v>
      </c>
      <c r="B86" s="14" t="s">
        <v>47</v>
      </c>
      <c r="C86" s="16">
        <v>1.9419999999999999</v>
      </c>
      <c r="D86" s="16">
        <v>1.9419999999999999</v>
      </c>
      <c r="E86" s="16">
        <v>1.9419999999999999</v>
      </c>
      <c r="F86" s="16">
        <v>1.9419999999999999</v>
      </c>
      <c r="G86" s="16">
        <v>1.9419999999999999</v>
      </c>
      <c r="H86" s="16">
        <v>1.9419999999999999</v>
      </c>
      <c r="I86" s="16">
        <v>1.2946</v>
      </c>
      <c r="J86" s="16">
        <v>1.2946</v>
      </c>
      <c r="K86" s="16">
        <v>1.2946</v>
      </c>
      <c r="L86" s="16">
        <v>1.2946</v>
      </c>
      <c r="M86" s="16">
        <v>1.2946</v>
      </c>
      <c r="N86" s="16">
        <v>1.2946</v>
      </c>
    </row>
    <row r="87" spans="1:14" x14ac:dyDescent="0.25">
      <c r="A87" s="104">
        <f>$A$14</f>
        <v>0</v>
      </c>
      <c r="B87" s="14" t="s">
        <v>48</v>
      </c>
      <c r="C87" s="16">
        <v>1.0145999999999999</v>
      </c>
      <c r="D87" s="16">
        <v>1.0145999999999999</v>
      </c>
      <c r="E87" s="16">
        <v>1.0145999999999999</v>
      </c>
      <c r="F87" s="16">
        <v>1.0145999999999999</v>
      </c>
      <c r="G87" s="16">
        <v>1.0145999999999999</v>
      </c>
      <c r="H87" s="16">
        <v>1.0145999999999999</v>
      </c>
      <c r="I87" s="16">
        <v>0.6764</v>
      </c>
      <c r="J87" s="16">
        <v>0.6764</v>
      </c>
      <c r="K87" s="16">
        <v>0.6764</v>
      </c>
      <c r="L87" s="16">
        <v>0.6764</v>
      </c>
      <c r="M87" s="16">
        <v>0.6764</v>
      </c>
      <c r="N87" s="16">
        <v>0.6764</v>
      </c>
    </row>
    <row r="88" spans="1:14" ht="21" x14ac:dyDescent="0.25">
      <c r="B88" s="50" t="s">
        <v>98</v>
      </c>
      <c r="C88" s="102">
        <f>$A$83*C83+$A$84*C84+$A$85*C85+$A$86*C86+$A$87*C87</f>
        <v>1.2984</v>
      </c>
      <c r="D88" s="102">
        <f t="shared" ref="D88:N88" si="7">$A$83*D83+$A$84*D84+$A$85*D85+$A$86*D86+$A$87*D87</f>
        <v>1.2984</v>
      </c>
      <c r="E88" s="102">
        <f t="shared" si="7"/>
        <v>1.2984</v>
      </c>
      <c r="F88" s="102">
        <f t="shared" si="7"/>
        <v>1.2984</v>
      </c>
      <c r="G88" s="102">
        <f t="shared" si="7"/>
        <v>1.2984</v>
      </c>
      <c r="H88" s="102">
        <f t="shared" si="7"/>
        <v>1.2984</v>
      </c>
      <c r="I88" s="102">
        <f t="shared" si="7"/>
        <v>0.86560000000000004</v>
      </c>
      <c r="J88" s="102">
        <f t="shared" si="7"/>
        <v>0.86560000000000004</v>
      </c>
      <c r="K88" s="111">
        <f t="shared" si="7"/>
        <v>0.86560000000000004</v>
      </c>
      <c r="L88" s="111">
        <f t="shared" si="7"/>
        <v>0.86560000000000004</v>
      </c>
      <c r="M88" s="111">
        <f t="shared" si="7"/>
        <v>0.86560000000000004</v>
      </c>
      <c r="N88" s="111">
        <f t="shared" si="7"/>
        <v>0.86560000000000004</v>
      </c>
    </row>
    <row r="89" spans="1:14" ht="21" x14ac:dyDescent="0.25">
      <c r="A89" s="105">
        <f>$A$16</f>
        <v>1</v>
      </c>
      <c r="B89" s="14" t="s">
        <v>75</v>
      </c>
      <c r="C89" s="16">
        <v>3.1998000000000002</v>
      </c>
      <c r="D89" s="16">
        <v>3.1998000000000002</v>
      </c>
      <c r="E89" s="16">
        <v>3.1998000000000002</v>
      </c>
      <c r="F89" s="16">
        <v>3.1998000000000002</v>
      </c>
      <c r="G89" s="16">
        <v>3.1998000000000002</v>
      </c>
      <c r="H89" s="16">
        <v>3.1998000000000002</v>
      </c>
      <c r="I89" s="16">
        <v>2.1332</v>
      </c>
      <c r="J89" s="16">
        <v>2.1332</v>
      </c>
      <c r="K89" s="16">
        <v>2.1332</v>
      </c>
      <c r="L89" s="16">
        <v>2.1332</v>
      </c>
      <c r="M89" s="16">
        <v>2.1332</v>
      </c>
      <c r="N89" s="16">
        <v>2.1332</v>
      </c>
    </row>
    <row r="90" spans="1:14" ht="21" x14ac:dyDescent="0.25">
      <c r="A90" s="105">
        <f>$A$17</f>
        <v>0</v>
      </c>
      <c r="B90" s="14" t="s">
        <v>69</v>
      </c>
      <c r="C90" s="16">
        <v>1.0145999999999999</v>
      </c>
      <c r="D90" s="16">
        <v>1.0145999999999999</v>
      </c>
      <c r="E90" s="16">
        <v>1.0145999999999999</v>
      </c>
      <c r="F90" s="16">
        <v>1.0145999999999999</v>
      </c>
      <c r="G90" s="16">
        <v>1.0145999999999999</v>
      </c>
      <c r="H90" s="16">
        <v>1.0145999999999999</v>
      </c>
      <c r="I90" s="16">
        <v>0.6764</v>
      </c>
      <c r="J90" s="16">
        <v>0.6764</v>
      </c>
      <c r="K90" s="16">
        <v>0.6764</v>
      </c>
      <c r="L90" s="16">
        <v>0.6764</v>
      </c>
      <c r="M90" s="16">
        <v>0.6764</v>
      </c>
      <c r="N90" s="16">
        <v>0.6764</v>
      </c>
    </row>
    <row r="91" spans="1:14" x14ac:dyDescent="0.25">
      <c r="A91" s="105">
        <f>$A$18</f>
        <v>0</v>
      </c>
      <c r="B91" s="14" t="s">
        <v>49</v>
      </c>
      <c r="C91" s="16">
        <v>0.45540000000000003</v>
      </c>
      <c r="D91" s="16">
        <v>0.45540000000000003</v>
      </c>
      <c r="E91" s="16">
        <v>0.45540000000000003</v>
      </c>
      <c r="F91" s="16">
        <v>0.45540000000000003</v>
      </c>
      <c r="G91" s="16">
        <v>0.45540000000000003</v>
      </c>
      <c r="H91" s="16">
        <v>0.45540000000000003</v>
      </c>
      <c r="I91" s="16">
        <v>0.30359999999999998</v>
      </c>
      <c r="J91" s="16">
        <v>0.30359999999999998</v>
      </c>
      <c r="K91" s="16">
        <v>0.30359999999999998</v>
      </c>
      <c r="L91" s="16">
        <v>0.30359999999999998</v>
      </c>
      <c r="M91" s="16">
        <v>0.30359999999999998</v>
      </c>
      <c r="N91" s="16">
        <v>0.30359999999999998</v>
      </c>
    </row>
    <row r="92" spans="1:14" x14ac:dyDescent="0.25">
      <c r="A92" s="105">
        <f>$A$19</f>
        <v>0</v>
      </c>
      <c r="B92" s="14" t="s">
        <v>47</v>
      </c>
      <c r="C92" s="16">
        <v>3.2513000000000001</v>
      </c>
      <c r="D92" s="16">
        <v>3.2513000000000001</v>
      </c>
      <c r="E92" s="16">
        <v>3.2513000000000001</v>
      </c>
      <c r="F92" s="16">
        <v>3.2513000000000001</v>
      </c>
      <c r="G92" s="16">
        <v>3.2513000000000001</v>
      </c>
      <c r="H92" s="16">
        <v>3.2513000000000001</v>
      </c>
      <c r="I92" s="16">
        <v>2.1675</v>
      </c>
      <c r="J92" s="16">
        <v>2.1675</v>
      </c>
      <c r="K92" s="16">
        <v>2.1675</v>
      </c>
      <c r="L92" s="16">
        <v>2.1675</v>
      </c>
      <c r="M92" s="16">
        <v>2.1675</v>
      </c>
      <c r="N92" s="16">
        <v>2.1675</v>
      </c>
    </row>
    <row r="93" spans="1:14" x14ac:dyDescent="0.25">
      <c r="A93" s="105">
        <f>$A$20</f>
        <v>0</v>
      </c>
      <c r="B93" s="14" t="s">
        <v>50</v>
      </c>
      <c r="C93" s="16">
        <v>4.7525000000000004</v>
      </c>
      <c r="D93" s="16">
        <v>4.7525000000000004</v>
      </c>
      <c r="E93" s="16">
        <v>4.7525000000000004</v>
      </c>
      <c r="F93" s="16">
        <v>4.7525000000000004</v>
      </c>
      <c r="G93" s="16">
        <v>4.7525000000000004</v>
      </c>
      <c r="H93" s="16">
        <v>4.7525000000000004</v>
      </c>
      <c r="I93" s="16">
        <v>3.1682999999999999</v>
      </c>
      <c r="J93" s="16">
        <v>3.1682999999999999</v>
      </c>
      <c r="K93" s="16">
        <v>3.1682999999999999</v>
      </c>
      <c r="L93" s="16">
        <v>3.1682999999999999</v>
      </c>
      <c r="M93" s="16">
        <v>3.1682999999999999</v>
      </c>
      <c r="N93" s="16">
        <v>3.1682999999999999</v>
      </c>
    </row>
    <row r="94" spans="1:14" x14ac:dyDescent="0.25">
      <c r="A94" s="105">
        <f>$A$21</f>
        <v>0</v>
      </c>
      <c r="B94" s="14" t="s">
        <v>48</v>
      </c>
      <c r="C94" s="16">
        <v>2.7431999999999999</v>
      </c>
      <c r="D94" s="16">
        <v>2.7431999999999999</v>
      </c>
      <c r="E94" s="16">
        <v>2.7431999999999999</v>
      </c>
      <c r="F94" s="16">
        <v>2.7431999999999999</v>
      </c>
      <c r="G94" s="16">
        <v>2.7431999999999999</v>
      </c>
      <c r="H94" s="16">
        <v>2.7431999999999999</v>
      </c>
      <c r="I94" s="16">
        <v>1.8288</v>
      </c>
      <c r="J94" s="16">
        <v>1.8288</v>
      </c>
      <c r="K94" s="16">
        <v>1.8288</v>
      </c>
      <c r="L94" s="16">
        <v>1.8288</v>
      </c>
      <c r="M94" s="16">
        <v>1.8288</v>
      </c>
      <c r="N94" s="16">
        <v>1.8288</v>
      </c>
    </row>
    <row r="95" spans="1:14" x14ac:dyDescent="0.25">
      <c r="A95" s="105">
        <f>$A$22</f>
        <v>0</v>
      </c>
      <c r="B95" s="23"/>
      <c r="C95" s="108">
        <f>$A$89*C89+$A$90*C90+$A$91*C91+$A$92*C92+$A$93*C93+$A$94*C94</f>
        <v>3.1998000000000002</v>
      </c>
      <c r="D95" s="108">
        <f t="shared" ref="D95:N95" si="8">$A$89*D89+$A$90*D90+$A$91*D91+$A$92*D92+$A$93*D93+$A$94*D94</f>
        <v>3.1998000000000002</v>
      </c>
      <c r="E95" s="108">
        <f t="shared" si="8"/>
        <v>3.1998000000000002</v>
      </c>
      <c r="F95" s="108">
        <f t="shared" si="8"/>
        <v>3.1998000000000002</v>
      </c>
      <c r="G95" s="108">
        <f t="shared" si="8"/>
        <v>3.1998000000000002</v>
      </c>
      <c r="H95" s="108">
        <f t="shared" si="8"/>
        <v>3.1998000000000002</v>
      </c>
      <c r="I95" s="108">
        <f t="shared" si="8"/>
        <v>2.1332</v>
      </c>
      <c r="J95" s="108">
        <f t="shared" si="8"/>
        <v>2.1332</v>
      </c>
      <c r="K95" s="108">
        <f t="shared" si="8"/>
        <v>2.1332</v>
      </c>
      <c r="L95" s="108">
        <f t="shared" si="8"/>
        <v>2.1332</v>
      </c>
      <c r="M95" s="108">
        <f t="shared" si="8"/>
        <v>2.1332</v>
      </c>
      <c r="N95" s="108">
        <f t="shared" si="8"/>
        <v>2.1332</v>
      </c>
    </row>
    <row r="96" spans="1:14" x14ac:dyDescent="0.25">
      <c r="B96" s="147" t="s">
        <v>76</v>
      </c>
      <c r="C96" s="147"/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</row>
    <row r="97" spans="1:14" x14ac:dyDescent="0.25">
      <c r="B97" s="148" t="s">
        <v>73</v>
      </c>
      <c r="C97" s="145" t="s">
        <v>67</v>
      </c>
      <c r="D97" s="145"/>
      <c r="E97" s="145"/>
      <c r="F97" s="140" t="s">
        <v>96</v>
      </c>
      <c r="G97" s="140"/>
      <c r="H97" s="140"/>
      <c r="I97" s="140"/>
      <c r="J97" s="140"/>
      <c r="K97" s="140"/>
      <c r="L97" s="140"/>
      <c r="M97" s="140"/>
      <c r="N97" s="140"/>
    </row>
    <row r="98" spans="1:14" x14ac:dyDescent="0.25">
      <c r="B98" s="148"/>
      <c r="C98" s="52" t="s">
        <v>2</v>
      </c>
      <c r="D98" s="52" t="s">
        <v>3</v>
      </c>
      <c r="E98" s="52" t="s">
        <v>4</v>
      </c>
      <c r="F98" s="52" t="s">
        <v>5</v>
      </c>
      <c r="G98" s="52" t="s">
        <v>6</v>
      </c>
      <c r="H98" s="52" t="s">
        <v>7</v>
      </c>
      <c r="I98" s="52" t="s">
        <v>8</v>
      </c>
      <c r="J98" s="52" t="s">
        <v>9</v>
      </c>
      <c r="K98" s="52" t="s">
        <v>10</v>
      </c>
      <c r="L98" s="52" t="s">
        <v>11</v>
      </c>
      <c r="M98" s="52" t="s">
        <v>12</v>
      </c>
      <c r="N98" s="57" t="s">
        <v>13</v>
      </c>
    </row>
    <row r="99" spans="1:14" x14ac:dyDescent="0.25">
      <c r="B99" s="138" t="s">
        <v>99</v>
      </c>
      <c r="C99" s="138"/>
      <c r="D99" s="138"/>
      <c r="E99" s="138"/>
      <c r="F99" s="138"/>
      <c r="G99" s="138"/>
      <c r="H99" s="138"/>
      <c r="I99" s="138"/>
      <c r="J99" s="138"/>
      <c r="K99" s="138"/>
      <c r="L99" s="138"/>
      <c r="M99" s="138"/>
      <c r="N99" s="138"/>
    </row>
    <row r="100" spans="1:14" x14ac:dyDescent="0.25">
      <c r="A100" s="104">
        <f>$A$10</f>
        <v>1</v>
      </c>
      <c r="B100" s="14" t="s">
        <v>45</v>
      </c>
      <c r="C100" s="16">
        <v>1.1685000000000001</v>
      </c>
      <c r="D100" s="16">
        <v>1.1685000000000001</v>
      </c>
      <c r="E100" s="16">
        <v>1.1685000000000001</v>
      </c>
      <c r="F100" s="16">
        <v>1.1685000000000001</v>
      </c>
      <c r="G100" s="16">
        <v>1.1685000000000001</v>
      </c>
      <c r="H100" s="16">
        <v>1.1685000000000001</v>
      </c>
      <c r="I100" s="16">
        <v>0.77900000000000003</v>
      </c>
      <c r="J100" s="16">
        <v>0.77900000000000003</v>
      </c>
      <c r="K100" s="16">
        <v>0.77900000000000003</v>
      </c>
      <c r="L100" s="16">
        <v>0.77900000000000003</v>
      </c>
      <c r="M100" s="16">
        <v>0.77900000000000003</v>
      </c>
      <c r="N100" s="16">
        <v>0.77900000000000003</v>
      </c>
    </row>
    <row r="101" spans="1:14" x14ac:dyDescent="0.25">
      <c r="A101" s="104">
        <f>$A$11</f>
        <v>0</v>
      </c>
      <c r="B101" s="14" t="s">
        <v>46</v>
      </c>
      <c r="C101" s="16">
        <v>0.4556</v>
      </c>
      <c r="D101" s="16">
        <v>0.4556</v>
      </c>
      <c r="E101" s="16">
        <v>0.4556</v>
      </c>
      <c r="F101" s="16">
        <v>0.4556</v>
      </c>
      <c r="G101" s="16">
        <v>0.4556</v>
      </c>
      <c r="H101" s="16">
        <v>0.4556</v>
      </c>
      <c r="I101" s="16">
        <v>0.30380000000000001</v>
      </c>
      <c r="J101" s="16">
        <v>0.30380000000000001</v>
      </c>
      <c r="K101" s="16">
        <v>0.30380000000000001</v>
      </c>
      <c r="L101" s="16">
        <v>0.30380000000000001</v>
      </c>
      <c r="M101" s="16">
        <v>0.30380000000000001</v>
      </c>
      <c r="N101" s="16">
        <v>0.30380000000000001</v>
      </c>
    </row>
    <row r="102" spans="1:14" x14ac:dyDescent="0.25">
      <c r="A102" s="104">
        <f>$A$12</f>
        <v>0</v>
      </c>
      <c r="B102" s="14" t="s">
        <v>16</v>
      </c>
      <c r="C102" s="16">
        <v>0.74219999999999997</v>
      </c>
      <c r="D102" s="16">
        <v>0.74219999999999997</v>
      </c>
      <c r="E102" s="16">
        <v>0.74219999999999997</v>
      </c>
      <c r="F102" s="16">
        <v>0.74219999999999997</v>
      </c>
      <c r="G102" s="16">
        <v>0.74219999999999997</v>
      </c>
      <c r="H102" s="16">
        <v>0.74219999999999997</v>
      </c>
      <c r="I102" s="16">
        <v>0.49480000000000002</v>
      </c>
      <c r="J102" s="16">
        <v>0.49480000000000002</v>
      </c>
      <c r="K102" s="16">
        <v>0.49480000000000002</v>
      </c>
      <c r="L102" s="16">
        <v>0.49480000000000002</v>
      </c>
      <c r="M102" s="16">
        <v>0.49480000000000002</v>
      </c>
      <c r="N102" s="16">
        <v>0.49480000000000002</v>
      </c>
    </row>
    <row r="103" spans="1:14" x14ac:dyDescent="0.25">
      <c r="A103" s="104">
        <f>$A$13</f>
        <v>0</v>
      </c>
      <c r="B103" s="14" t="s">
        <v>47</v>
      </c>
      <c r="C103" s="16">
        <v>1.7478</v>
      </c>
      <c r="D103" s="16">
        <v>1.7478</v>
      </c>
      <c r="E103" s="16">
        <v>1.7478</v>
      </c>
      <c r="F103" s="16">
        <v>1.7478</v>
      </c>
      <c r="G103" s="16">
        <v>1.7478</v>
      </c>
      <c r="H103" s="16">
        <v>1.7478</v>
      </c>
      <c r="I103" s="16">
        <v>1.1652</v>
      </c>
      <c r="J103" s="16">
        <v>1.1652</v>
      </c>
      <c r="K103" s="16">
        <v>1.1652</v>
      </c>
      <c r="L103" s="16">
        <v>1.1652</v>
      </c>
      <c r="M103" s="16">
        <v>1.1652</v>
      </c>
      <c r="N103" s="16">
        <v>1.1652</v>
      </c>
    </row>
    <row r="104" spans="1:14" x14ac:dyDescent="0.25">
      <c r="A104" s="104">
        <f>$A$14</f>
        <v>0</v>
      </c>
      <c r="B104" s="14" t="s">
        <v>48</v>
      </c>
      <c r="C104" s="16">
        <v>0.91310000000000002</v>
      </c>
      <c r="D104" s="16">
        <v>0.91310000000000002</v>
      </c>
      <c r="E104" s="16">
        <v>0.91310000000000002</v>
      </c>
      <c r="F104" s="16">
        <v>0.91310000000000002</v>
      </c>
      <c r="G104" s="16">
        <v>0.91310000000000002</v>
      </c>
      <c r="H104" s="16">
        <v>0.91310000000000002</v>
      </c>
      <c r="I104" s="16">
        <v>0.60880000000000001</v>
      </c>
      <c r="J104" s="16">
        <v>0.60880000000000001</v>
      </c>
      <c r="K104" s="16">
        <v>0.60880000000000001</v>
      </c>
      <c r="L104" s="16">
        <v>0.60880000000000001</v>
      </c>
      <c r="M104" s="16">
        <v>0.60880000000000001</v>
      </c>
      <c r="N104" s="16">
        <v>0.60880000000000001</v>
      </c>
    </row>
    <row r="105" spans="1:14" ht="21" x14ac:dyDescent="0.25">
      <c r="B105" s="50" t="s">
        <v>98</v>
      </c>
      <c r="C105" s="102">
        <f>$A$100*C100+$A$101*C101+$A$102*C102+$A$103*C103+$A$104*C104</f>
        <v>1.1685000000000001</v>
      </c>
      <c r="D105" s="102">
        <f t="shared" ref="D105:N105" si="9">$A$100*D100+$A$101*D101+$A$102*D102+$A$103*D103+$A$104*D104</f>
        <v>1.1685000000000001</v>
      </c>
      <c r="E105" s="102">
        <f t="shared" si="9"/>
        <v>1.1685000000000001</v>
      </c>
      <c r="F105" s="102">
        <f t="shared" si="9"/>
        <v>1.1685000000000001</v>
      </c>
      <c r="G105" s="102">
        <f t="shared" si="9"/>
        <v>1.1685000000000001</v>
      </c>
      <c r="H105" s="102">
        <f t="shared" si="9"/>
        <v>1.1685000000000001</v>
      </c>
      <c r="I105" s="102">
        <f t="shared" si="9"/>
        <v>0.77900000000000003</v>
      </c>
      <c r="J105" s="102">
        <f t="shared" si="9"/>
        <v>0.77900000000000003</v>
      </c>
      <c r="K105" s="102">
        <f t="shared" si="9"/>
        <v>0.77900000000000003</v>
      </c>
      <c r="L105" s="102">
        <f t="shared" si="9"/>
        <v>0.77900000000000003</v>
      </c>
      <c r="M105" s="102">
        <f t="shared" si="9"/>
        <v>0.77900000000000003</v>
      </c>
      <c r="N105" s="102">
        <f t="shared" si="9"/>
        <v>0.77900000000000003</v>
      </c>
    </row>
    <row r="106" spans="1:14" ht="21" x14ac:dyDescent="0.25">
      <c r="A106" s="105">
        <f>$A$16</f>
        <v>1</v>
      </c>
      <c r="B106" s="14" t="s">
        <v>75</v>
      </c>
      <c r="C106" s="16">
        <v>2.8797999999999999</v>
      </c>
      <c r="D106" s="16">
        <v>2.8797999999999999</v>
      </c>
      <c r="E106" s="16">
        <v>2.8797999999999999</v>
      </c>
      <c r="F106" s="16">
        <v>2.8797999999999999</v>
      </c>
      <c r="G106" s="16">
        <v>2.8797999999999999</v>
      </c>
      <c r="H106" s="16">
        <v>2.8797999999999999</v>
      </c>
      <c r="I106" s="16">
        <v>1.9198999999999999</v>
      </c>
      <c r="J106" s="16">
        <v>1.9198999999999999</v>
      </c>
      <c r="K106" s="16">
        <v>1.9198999999999999</v>
      </c>
      <c r="L106" s="16">
        <v>1.9198999999999999</v>
      </c>
      <c r="M106" s="16">
        <v>1.9198999999999999</v>
      </c>
      <c r="N106" s="16">
        <v>1.9198999999999999</v>
      </c>
    </row>
    <row r="107" spans="1:14" ht="21" x14ac:dyDescent="0.25">
      <c r="A107" s="105">
        <f>$A$17</f>
        <v>0</v>
      </c>
      <c r="B107" s="14" t="s">
        <v>19</v>
      </c>
      <c r="C107" s="16">
        <v>0.91310000000000002</v>
      </c>
      <c r="D107" s="16">
        <v>0.91310000000000002</v>
      </c>
      <c r="E107" s="16">
        <v>0.91310000000000002</v>
      </c>
      <c r="F107" s="16">
        <v>0.91310000000000002</v>
      </c>
      <c r="G107" s="16">
        <v>0.91310000000000002</v>
      </c>
      <c r="H107" s="16">
        <v>0.91310000000000002</v>
      </c>
      <c r="I107" s="16">
        <v>0.60880000000000001</v>
      </c>
      <c r="J107" s="16">
        <v>0.60880000000000001</v>
      </c>
      <c r="K107" s="16">
        <v>0.60880000000000001</v>
      </c>
      <c r="L107" s="16">
        <v>0.60880000000000001</v>
      </c>
      <c r="M107" s="16">
        <v>0.60880000000000001</v>
      </c>
      <c r="N107" s="16">
        <v>0.60880000000000001</v>
      </c>
    </row>
    <row r="108" spans="1:14" x14ac:dyDescent="0.25">
      <c r="A108" s="105">
        <f>$A$18</f>
        <v>0</v>
      </c>
      <c r="B108" s="14" t="s">
        <v>49</v>
      </c>
      <c r="C108" s="16">
        <v>0.4098</v>
      </c>
      <c r="D108" s="16">
        <v>0.4098</v>
      </c>
      <c r="E108" s="16">
        <v>0.4098</v>
      </c>
      <c r="F108" s="16">
        <v>0.4098</v>
      </c>
      <c r="G108" s="16">
        <v>0.4098</v>
      </c>
      <c r="H108" s="16">
        <v>0.4098</v>
      </c>
      <c r="I108" s="16">
        <v>0.2732</v>
      </c>
      <c r="J108" s="16">
        <v>0.2732</v>
      </c>
      <c r="K108" s="16">
        <v>0.2732</v>
      </c>
      <c r="L108" s="16">
        <v>0.2732</v>
      </c>
      <c r="M108" s="16">
        <v>0.2732</v>
      </c>
      <c r="N108" s="16">
        <v>0.2732</v>
      </c>
    </row>
    <row r="109" spans="1:14" x14ac:dyDescent="0.25">
      <c r="A109" s="105">
        <f>$A$19</f>
        <v>0</v>
      </c>
      <c r="B109" s="14" t="s">
        <v>47</v>
      </c>
      <c r="C109" s="16">
        <v>2.9260999999999999</v>
      </c>
      <c r="D109" s="16">
        <v>2.9260999999999999</v>
      </c>
      <c r="E109" s="16">
        <v>2.9260999999999999</v>
      </c>
      <c r="F109" s="16">
        <v>2.9260999999999999</v>
      </c>
      <c r="G109" s="16">
        <v>2.9260999999999999</v>
      </c>
      <c r="H109" s="16">
        <v>2.9260999999999999</v>
      </c>
      <c r="I109" s="16">
        <v>1.9508000000000001</v>
      </c>
      <c r="J109" s="16">
        <v>1.9508000000000001</v>
      </c>
      <c r="K109" s="16">
        <v>1.9508000000000001</v>
      </c>
      <c r="L109" s="16">
        <v>1.9508000000000001</v>
      </c>
      <c r="M109" s="16">
        <v>1.9508000000000001</v>
      </c>
      <c r="N109" s="16">
        <v>1.9508000000000001</v>
      </c>
    </row>
    <row r="110" spans="1:14" x14ac:dyDescent="0.25">
      <c r="A110" s="105">
        <f>$A$20</f>
        <v>0</v>
      </c>
      <c r="B110" s="14" t="s">
        <v>50</v>
      </c>
      <c r="C110" s="16">
        <v>4.2771999999999997</v>
      </c>
      <c r="D110" s="16">
        <v>4.2771999999999997</v>
      </c>
      <c r="E110" s="16">
        <v>4.2771999999999997</v>
      </c>
      <c r="F110" s="16">
        <v>4.2771999999999997</v>
      </c>
      <c r="G110" s="16">
        <v>4.2771999999999997</v>
      </c>
      <c r="H110" s="16">
        <v>4.2771999999999997</v>
      </c>
      <c r="I110" s="16">
        <v>2.8515000000000001</v>
      </c>
      <c r="J110" s="16">
        <v>2.8515000000000001</v>
      </c>
      <c r="K110" s="16">
        <v>2.8515000000000001</v>
      </c>
      <c r="L110" s="16">
        <v>2.8515000000000001</v>
      </c>
      <c r="M110" s="16">
        <v>2.8515000000000001</v>
      </c>
      <c r="N110" s="16">
        <v>2.8515000000000001</v>
      </c>
    </row>
    <row r="111" spans="1:14" x14ac:dyDescent="0.25">
      <c r="A111" s="105">
        <f>$A$21</f>
        <v>0</v>
      </c>
      <c r="B111" s="14" t="s">
        <v>48</v>
      </c>
      <c r="C111" s="16">
        <v>2.4689000000000001</v>
      </c>
      <c r="D111" s="16">
        <v>2.4689000000000001</v>
      </c>
      <c r="E111" s="16">
        <v>2.4689000000000001</v>
      </c>
      <c r="F111" s="16">
        <v>2.4689000000000001</v>
      </c>
      <c r="G111" s="16">
        <v>2.4689000000000001</v>
      </c>
      <c r="H111" s="16">
        <v>2.4689000000000001</v>
      </c>
      <c r="I111" s="16">
        <v>1.6458999999999999</v>
      </c>
      <c r="J111" s="16">
        <v>1.6458999999999999</v>
      </c>
      <c r="K111" s="16">
        <v>1.6458999999999999</v>
      </c>
      <c r="L111" s="16">
        <v>1.6458999999999999</v>
      </c>
      <c r="M111" s="16">
        <v>1.6458999999999999</v>
      </c>
      <c r="N111" s="16">
        <v>1.6458999999999999</v>
      </c>
    </row>
    <row r="112" spans="1:14" ht="21" x14ac:dyDescent="0.25">
      <c r="A112" s="105">
        <f>$A$22</f>
        <v>0</v>
      </c>
      <c r="B112" s="14" t="s">
        <v>51</v>
      </c>
      <c r="C112" s="16">
        <v>0.6492</v>
      </c>
      <c r="D112" s="16">
        <v>0.6492</v>
      </c>
      <c r="E112" s="16">
        <v>0.6492</v>
      </c>
      <c r="F112" s="16">
        <v>0.6492</v>
      </c>
      <c r="G112" s="16">
        <v>0.6492</v>
      </c>
      <c r="H112" s="16">
        <v>0.6492</v>
      </c>
      <c r="I112" s="16">
        <v>0.43280000000000002</v>
      </c>
      <c r="J112" s="16">
        <v>0.43280000000000002</v>
      </c>
      <c r="K112" s="16">
        <v>0.43280000000000002</v>
      </c>
      <c r="L112" s="16">
        <v>0.43280000000000002</v>
      </c>
      <c r="M112" s="16">
        <v>0.43280000000000002</v>
      </c>
      <c r="N112" s="16">
        <v>0.43280000000000002</v>
      </c>
    </row>
    <row r="113" spans="1:14" x14ac:dyDescent="0.25">
      <c r="B113" s="11"/>
      <c r="C113" s="106">
        <f>$A$106*C106+$A$107*C107+$A$108*C108+$A$109*C109+$A$110*C110+$A$111*C111+$A$112*C112</f>
        <v>2.8797999999999999</v>
      </c>
      <c r="D113" s="106">
        <f t="shared" ref="D113:N113" si="10">$A$106*D106+$A$107*D107+$A$108*D108+$A$109*D109+$A$110*D110+$A$111*D111+$A$112*D112</f>
        <v>2.8797999999999999</v>
      </c>
      <c r="E113" s="106">
        <f t="shared" si="10"/>
        <v>2.8797999999999999</v>
      </c>
      <c r="F113" s="106">
        <f t="shared" si="10"/>
        <v>2.8797999999999999</v>
      </c>
      <c r="G113" s="106">
        <f t="shared" si="10"/>
        <v>2.8797999999999999</v>
      </c>
      <c r="H113" s="106">
        <f t="shared" si="10"/>
        <v>2.8797999999999999</v>
      </c>
      <c r="I113" s="106">
        <f t="shared" si="10"/>
        <v>1.9198999999999999</v>
      </c>
      <c r="J113" s="106">
        <f t="shared" si="10"/>
        <v>1.9198999999999999</v>
      </c>
      <c r="K113" s="106">
        <f t="shared" si="10"/>
        <v>1.9198999999999999</v>
      </c>
      <c r="L113" s="106">
        <f t="shared" si="10"/>
        <v>1.9198999999999999</v>
      </c>
      <c r="M113" s="106">
        <f t="shared" si="10"/>
        <v>1.9198999999999999</v>
      </c>
      <c r="N113" s="106">
        <f t="shared" si="10"/>
        <v>1.9198999999999999</v>
      </c>
    </row>
    <row r="114" spans="1:14" x14ac:dyDescent="0.25">
      <c r="B114" s="8" t="s">
        <v>77</v>
      </c>
      <c r="C114" s="11"/>
      <c r="D114" s="18"/>
      <c r="E114" s="18"/>
      <c r="F114" s="11"/>
      <c r="G114" s="11"/>
      <c r="H114" s="11"/>
      <c r="I114" s="11"/>
      <c r="J114" s="11"/>
      <c r="K114" s="11"/>
      <c r="L114" s="11"/>
      <c r="M114" s="11"/>
      <c r="N114" s="11"/>
    </row>
    <row r="115" spans="1:14" ht="36" x14ac:dyDescent="0.25">
      <c r="B115" s="12" t="s">
        <v>73</v>
      </c>
      <c r="C115" s="56" t="s">
        <v>78</v>
      </c>
      <c r="D115" s="20"/>
      <c r="E115" s="18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1:14" x14ac:dyDescent="0.25">
      <c r="B116" s="138" t="s">
        <v>15</v>
      </c>
      <c r="C116" s="138"/>
      <c r="D116" s="18"/>
      <c r="E116" s="17"/>
      <c r="F116" s="11"/>
      <c r="G116" s="11"/>
      <c r="H116" s="11"/>
      <c r="I116" s="11"/>
      <c r="J116" s="11"/>
      <c r="K116" s="11"/>
      <c r="L116" s="11"/>
      <c r="M116" s="11"/>
      <c r="N116" s="11"/>
    </row>
    <row r="117" spans="1:14" x14ac:dyDescent="0.25">
      <c r="A117" s="104">
        <f>$A$10</f>
        <v>1</v>
      </c>
      <c r="B117" s="14" t="s">
        <v>45</v>
      </c>
      <c r="C117" s="16">
        <v>2.1640000000000001</v>
      </c>
      <c r="D117" s="24"/>
      <c r="E117" s="18"/>
      <c r="F117" s="11"/>
      <c r="G117" s="11"/>
      <c r="H117" s="11"/>
      <c r="I117" s="11"/>
      <c r="J117" s="11"/>
      <c r="K117" s="11"/>
      <c r="L117" s="11"/>
      <c r="M117" s="11"/>
      <c r="N117" s="11"/>
    </row>
    <row r="118" spans="1:14" x14ac:dyDescent="0.25">
      <c r="A118" s="104">
        <f>$A$11</f>
        <v>0</v>
      </c>
      <c r="B118" s="14" t="s">
        <v>46</v>
      </c>
      <c r="C118" s="16">
        <v>0.84379999999999999</v>
      </c>
      <c r="D118" s="24"/>
      <c r="E118" s="18"/>
      <c r="F118" s="11"/>
      <c r="G118" s="11"/>
      <c r="H118" s="11"/>
      <c r="I118" s="11"/>
      <c r="J118" s="11"/>
      <c r="K118" s="11"/>
      <c r="L118" s="11"/>
      <c r="M118" s="11"/>
      <c r="N118" s="11"/>
    </row>
    <row r="119" spans="1:14" x14ac:dyDescent="0.25">
      <c r="A119" s="104">
        <f>$A$12</f>
        <v>0</v>
      </c>
      <c r="B119" s="14" t="s">
        <v>16</v>
      </c>
      <c r="C119" s="16">
        <v>1.3745000000000001</v>
      </c>
      <c r="D119" s="24"/>
      <c r="E119" s="18"/>
      <c r="F119" s="11"/>
      <c r="G119" s="11"/>
      <c r="H119" s="11"/>
      <c r="I119" s="11"/>
      <c r="J119" s="11"/>
      <c r="K119" s="11"/>
      <c r="L119" s="11"/>
      <c r="M119" s="11"/>
      <c r="N119" s="11"/>
    </row>
    <row r="120" spans="1:14" x14ac:dyDescent="0.25">
      <c r="A120" s="104">
        <f>$A$13</f>
        <v>0</v>
      </c>
      <c r="B120" s="14" t="s">
        <v>47</v>
      </c>
      <c r="C120" s="16">
        <v>3.2366000000000001</v>
      </c>
      <c r="D120" s="24"/>
      <c r="E120" s="18"/>
      <c r="F120" s="11"/>
      <c r="G120" s="11"/>
      <c r="H120" s="11"/>
      <c r="I120" s="11"/>
      <c r="J120" s="11"/>
      <c r="K120" s="11"/>
      <c r="L120" s="11"/>
      <c r="M120" s="11"/>
      <c r="N120" s="11"/>
    </row>
    <row r="121" spans="1:14" x14ac:dyDescent="0.25">
      <c r="A121" s="104">
        <f>$A$14</f>
        <v>0</v>
      </c>
      <c r="B121" s="14" t="s">
        <v>48</v>
      </c>
      <c r="C121" s="16">
        <v>1.6910000000000001</v>
      </c>
      <c r="D121" s="24"/>
      <c r="E121" s="18"/>
      <c r="F121" s="11"/>
      <c r="G121" s="11"/>
      <c r="H121" s="11"/>
      <c r="I121" s="11"/>
      <c r="J121" s="11"/>
      <c r="K121" s="11"/>
      <c r="L121" s="11"/>
      <c r="M121" s="11"/>
      <c r="N121" s="11"/>
    </row>
    <row r="122" spans="1:14" ht="21" x14ac:dyDescent="0.25">
      <c r="B122" s="65" t="s">
        <v>17</v>
      </c>
      <c r="C122" s="109">
        <f>A117*C117+A118*C118+A119*C119+A120*C120+A121*C121</f>
        <v>2.1640000000000001</v>
      </c>
      <c r="D122" s="18"/>
      <c r="E122" s="18"/>
      <c r="F122" s="11"/>
      <c r="G122" s="11"/>
      <c r="H122" s="11"/>
      <c r="I122" s="11"/>
      <c r="J122" s="11"/>
      <c r="K122" s="11"/>
      <c r="L122" s="11"/>
      <c r="M122" s="11"/>
      <c r="N122" s="11"/>
    </row>
    <row r="123" spans="1:14" ht="21" x14ac:dyDescent="0.25">
      <c r="A123" s="105">
        <f>$A$16</f>
        <v>1</v>
      </c>
      <c r="B123" s="14" t="s">
        <v>18</v>
      </c>
      <c r="C123" s="16">
        <v>5.3330000000000002</v>
      </c>
      <c r="D123" s="24"/>
      <c r="E123" s="18"/>
      <c r="F123" s="11"/>
      <c r="G123" s="11"/>
      <c r="H123" s="11"/>
      <c r="I123" s="11"/>
      <c r="J123" s="11"/>
      <c r="K123" s="11"/>
      <c r="L123" s="11"/>
      <c r="M123" s="11"/>
      <c r="N123" s="11"/>
    </row>
    <row r="124" spans="1:14" ht="21" x14ac:dyDescent="0.25">
      <c r="A124" s="105">
        <f>$A$17</f>
        <v>0</v>
      </c>
      <c r="B124" s="14" t="s">
        <v>19</v>
      </c>
      <c r="C124" s="16">
        <v>1.6910000000000001</v>
      </c>
      <c r="D124" s="24"/>
      <c r="E124" s="18"/>
      <c r="F124" s="11"/>
      <c r="G124" s="11"/>
      <c r="H124" s="11"/>
      <c r="I124" s="11"/>
      <c r="J124" s="11"/>
      <c r="K124" s="11"/>
      <c r="L124" s="11"/>
      <c r="M124" s="11"/>
      <c r="N124" s="11"/>
    </row>
    <row r="125" spans="1:14" x14ac:dyDescent="0.25">
      <c r="A125" s="105">
        <f>$A$18</f>
        <v>0</v>
      </c>
      <c r="B125" s="14" t="s">
        <v>49</v>
      </c>
      <c r="C125" s="16">
        <v>0.75900000000000001</v>
      </c>
      <c r="D125" s="24"/>
      <c r="E125" s="18"/>
      <c r="F125" s="11"/>
      <c r="G125" s="11"/>
      <c r="H125" s="11"/>
      <c r="I125" s="11"/>
      <c r="J125" s="11"/>
      <c r="K125" s="11"/>
      <c r="L125" s="11"/>
      <c r="M125" s="11"/>
      <c r="N125" s="11"/>
    </row>
    <row r="126" spans="1:14" x14ac:dyDescent="0.25">
      <c r="A126" s="105">
        <f>$A$19</f>
        <v>0</v>
      </c>
      <c r="B126" s="14" t="s">
        <v>47</v>
      </c>
      <c r="C126" s="16">
        <v>5.4188000000000001</v>
      </c>
      <c r="D126" s="24"/>
      <c r="E126" s="18"/>
      <c r="F126" s="11"/>
      <c r="G126" s="11"/>
      <c r="H126" s="11"/>
      <c r="I126" s="11"/>
      <c r="J126" s="11"/>
      <c r="K126" s="11"/>
      <c r="L126" s="11"/>
      <c r="M126" s="11"/>
      <c r="N126" s="11"/>
    </row>
    <row r="127" spans="1:14" x14ac:dyDescent="0.25">
      <c r="A127" s="105">
        <f>$A$20</f>
        <v>0</v>
      </c>
      <c r="B127" s="14" t="s">
        <v>50</v>
      </c>
      <c r="C127" s="16">
        <v>7.9207999999999998</v>
      </c>
      <c r="D127" s="24"/>
      <c r="E127" s="18"/>
      <c r="F127" s="11"/>
      <c r="G127" s="11"/>
      <c r="H127" s="11"/>
      <c r="I127" s="11"/>
      <c r="J127" s="11"/>
      <c r="K127" s="11"/>
      <c r="L127" s="11"/>
      <c r="M127" s="11"/>
      <c r="N127" s="11"/>
    </row>
    <row r="128" spans="1:14" x14ac:dyDescent="0.25">
      <c r="A128" s="105">
        <f>$A$21</f>
        <v>0</v>
      </c>
      <c r="B128" s="14" t="s">
        <v>48</v>
      </c>
      <c r="C128" s="16">
        <v>4.5720000000000001</v>
      </c>
      <c r="D128" s="24"/>
      <c r="E128" s="18"/>
      <c r="F128" s="11"/>
      <c r="G128" s="11"/>
      <c r="H128" s="11"/>
      <c r="I128" s="11"/>
      <c r="J128" s="11"/>
      <c r="K128" s="11"/>
      <c r="L128" s="11"/>
      <c r="M128" s="11"/>
      <c r="N128" s="11"/>
    </row>
    <row r="129" spans="1:14" ht="21" x14ac:dyDescent="0.25">
      <c r="A129" s="105">
        <f>$A$22</f>
        <v>0</v>
      </c>
      <c r="B129" s="14" t="s">
        <v>51</v>
      </c>
      <c r="C129" s="16">
        <v>1.0820000000000001</v>
      </c>
      <c r="D129" s="24"/>
      <c r="E129" s="18"/>
      <c r="F129" s="11"/>
      <c r="G129" s="11"/>
      <c r="H129" s="11"/>
      <c r="I129" s="11"/>
      <c r="J129" s="11"/>
      <c r="K129" s="11"/>
      <c r="L129" s="11"/>
      <c r="M129" s="11"/>
      <c r="N129" s="11"/>
    </row>
    <row r="130" spans="1:14" x14ac:dyDescent="0.25">
      <c r="B130" s="11"/>
      <c r="C130" s="106">
        <f>A123*C123+A124*C124+A125*C125+A126*C126+A127*C127+A128*C128+A129*C129</f>
        <v>5.3330000000000002</v>
      </c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</row>
    <row r="131" spans="1:14" x14ac:dyDescent="0.25">
      <c r="B131" s="9" t="s">
        <v>79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</row>
    <row r="132" spans="1:14" x14ac:dyDescent="0.25">
      <c r="B132" s="9" t="s">
        <v>80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</row>
    <row r="133" spans="1:14" x14ac:dyDescent="0.25">
      <c r="B133" s="10" t="s">
        <v>81</v>
      </c>
      <c r="C133" s="11"/>
      <c r="D133" s="18"/>
      <c r="E133" s="18"/>
      <c r="F133" s="18"/>
      <c r="G133" s="11"/>
      <c r="H133" s="11"/>
      <c r="I133" s="11"/>
      <c r="J133" s="11"/>
      <c r="K133" s="11"/>
      <c r="L133" s="11"/>
      <c r="M133" s="11"/>
      <c r="N133" s="11"/>
    </row>
    <row r="134" spans="1:14" ht="21" x14ac:dyDescent="0.25">
      <c r="B134" s="25" t="s">
        <v>82</v>
      </c>
      <c r="C134" s="12" t="s">
        <v>20</v>
      </c>
      <c r="D134" s="26"/>
      <c r="E134" s="17"/>
      <c r="F134" s="17"/>
      <c r="G134" s="11"/>
      <c r="H134" s="11"/>
      <c r="I134" s="11"/>
      <c r="J134" s="11"/>
      <c r="K134" s="11"/>
      <c r="L134" s="11"/>
      <c r="M134" s="11"/>
      <c r="N134" s="11"/>
    </row>
    <row r="135" spans="1:14" x14ac:dyDescent="0.25">
      <c r="B135" s="14" t="s">
        <v>83</v>
      </c>
      <c r="C135" s="16">
        <v>6.88E-2</v>
      </c>
      <c r="D135" s="27"/>
      <c r="E135" s="18"/>
      <c r="F135" s="18"/>
      <c r="G135" s="11"/>
      <c r="H135" s="11"/>
      <c r="I135" s="11"/>
      <c r="J135" s="11"/>
      <c r="K135" s="11"/>
      <c r="L135" s="11"/>
      <c r="M135" s="11"/>
      <c r="N135" s="11"/>
    </row>
    <row r="136" spans="1:14" ht="21" x14ac:dyDescent="0.25">
      <c r="B136" s="14" t="s">
        <v>84</v>
      </c>
      <c r="C136" s="16">
        <v>8.8099999999999998E-2</v>
      </c>
      <c r="D136" s="27"/>
      <c r="E136" s="18"/>
      <c r="F136" s="18"/>
      <c r="G136" s="11"/>
      <c r="H136" s="11"/>
      <c r="I136" s="11"/>
      <c r="J136" s="11"/>
      <c r="K136" s="11"/>
      <c r="L136" s="11"/>
      <c r="M136" s="11"/>
      <c r="N136" s="11"/>
    </row>
    <row r="137" spans="1:14" ht="31.5" x14ac:dyDescent="0.25">
      <c r="B137" s="14" t="s">
        <v>85</v>
      </c>
      <c r="C137" s="16">
        <v>0.1229</v>
      </c>
      <c r="D137" s="27"/>
      <c r="E137" s="28"/>
      <c r="F137" s="18"/>
      <c r="G137" s="11"/>
      <c r="H137" s="11"/>
      <c r="I137" s="11"/>
      <c r="J137" s="11"/>
      <c r="K137" s="11"/>
      <c r="L137" s="11"/>
      <c r="M137" s="11"/>
      <c r="N137" s="11"/>
    </row>
    <row r="138" spans="1:14" x14ac:dyDescent="0.25">
      <c r="B138" s="29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</row>
    <row r="139" spans="1:14" x14ac:dyDescent="0.25">
      <c r="B139" s="9" t="s">
        <v>86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</row>
    <row r="140" spans="1:14" x14ac:dyDescent="0.25">
      <c r="B140" s="9" t="s">
        <v>87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</row>
    <row r="141" spans="1:14" x14ac:dyDescent="0.25">
      <c r="B141" s="9" t="s">
        <v>88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</row>
    <row r="142" spans="1:14" x14ac:dyDescent="0.25">
      <c r="B142" s="9" t="s">
        <v>89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</row>
    <row r="143" spans="1:14" x14ac:dyDescent="0.25">
      <c r="B143" s="9" t="s">
        <v>90</v>
      </c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</row>
    <row r="144" spans="1:14" x14ac:dyDescent="0.25">
      <c r="B144" s="9" t="s">
        <v>91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</row>
  </sheetData>
  <mergeCells count="36">
    <mergeCell ref="B116:C116"/>
    <mergeCell ref="B82:N82"/>
    <mergeCell ref="B96:N96"/>
    <mergeCell ref="B97:B98"/>
    <mergeCell ref="C97:E97"/>
    <mergeCell ref="F97:N97"/>
    <mergeCell ref="B61:B62"/>
    <mergeCell ref="C61:E61"/>
    <mergeCell ref="F61:N61"/>
    <mergeCell ref="C80:E80"/>
    <mergeCell ref="B99:N99"/>
    <mergeCell ref="F80:N80"/>
    <mergeCell ref="B63:N63"/>
    <mergeCell ref="B80:B81"/>
    <mergeCell ref="B44:B45"/>
    <mergeCell ref="C44:E44"/>
    <mergeCell ref="F44:N44"/>
    <mergeCell ref="B46:N46"/>
    <mergeCell ref="I14:J14"/>
    <mergeCell ref="M15:N15"/>
    <mergeCell ref="M16:N16"/>
    <mergeCell ref="M17:N17"/>
    <mergeCell ref="I16:J16"/>
    <mergeCell ref="B27:J27"/>
    <mergeCell ref="B25:B26"/>
    <mergeCell ref="C25:F25"/>
    <mergeCell ref="G25:J25"/>
    <mergeCell ref="M18:N18"/>
    <mergeCell ref="I15:J15"/>
    <mergeCell ref="M13:N13"/>
    <mergeCell ref="M14:N14"/>
    <mergeCell ref="I11:J11"/>
    <mergeCell ref="M11:N11"/>
    <mergeCell ref="M12:N12"/>
    <mergeCell ref="I12:J12"/>
    <mergeCell ref="I13:J13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7"/>
  <sheetViews>
    <sheetView tabSelected="1" zoomScale="90" zoomScaleNormal="90" workbookViewId="0">
      <selection activeCell="P1" sqref="P1"/>
    </sheetView>
  </sheetViews>
  <sheetFormatPr defaultRowHeight="15" x14ac:dyDescent="0.25"/>
  <cols>
    <col min="1" max="1" width="1.28515625" customWidth="1"/>
    <col min="2" max="2" width="26.42578125" customWidth="1"/>
    <col min="3" max="3" width="9.42578125" customWidth="1"/>
    <col min="4" max="4" width="10" customWidth="1"/>
    <col min="5" max="5" width="8.5703125" customWidth="1"/>
    <col min="6" max="16" width="10" customWidth="1"/>
    <col min="17" max="17" width="10.140625" customWidth="1"/>
  </cols>
  <sheetData>
    <row r="1" spans="2:17" x14ac:dyDescent="0.25">
      <c r="F1" s="47"/>
      <c r="G1" s="92" t="s">
        <v>54</v>
      </c>
      <c r="P1" t="s">
        <v>128</v>
      </c>
    </row>
    <row r="3" spans="2:17" x14ac:dyDescent="0.25">
      <c r="B3" t="s">
        <v>122</v>
      </c>
    </row>
    <row r="4" spans="2:17" x14ac:dyDescent="0.25">
      <c r="I4" s="23"/>
      <c r="J4" s="97"/>
    </row>
    <row r="5" spans="2:17" x14ac:dyDescent="0.25">
      <c r="B5" s="79"/>
      <c r="C5" s="79"/>
      <c r="D5" s="79"/>
      <c r="E5" s="79"/>
      <c r="F5" s="79"/>
      <c r="G5" s="80">
        <f>E12+F12+G12</f>
        <v>92</v>
      </c>
      <c r="H5" s="79"/>
      <c r="I5" s="79"/>
      <c r="J5" s="80">
        <f>H12+I12+J12</f>
        <v>92</v>
      </c>
      <c r="K5" s="79"/>
      <c r="L5" s="79"/>
      <c r="M5" s="80">
        <f>K12+L12+M12</f>
        <v>90</v>
      </c>
      <c r="N5" s="79"/>
      <c r="O5" s="79"/>
      <c r="P5" s="80">
        <f>N12+O12+P12</f>
        <v>91</v>
      </c>
      <c r="Q5" s="79"/>
    </row>
    <row r="6" spans="2:17" x14ac:dyDescent="0.25">
      <c r="B6" s="3" t="s">
        <v>36</v>
      </c>
      <c r="C6" s="3" t="s">
        <v>22</v>
      </c>
      <c r="D6" s="7" t="s">
        <v>1</v>
      </c>
      <c r="E6" s="35">
        <v>43282</v>
      </c>
      <c r="F6" s="35">
        <v>43313</v>
      </c>
      <c r="G6" s="35">
        <v>43344</v>
      </c>
      <c r="H6" s="48">
        <v>43374</v>
      </c>
      <c r="I6" s="49" t="s">
        <v>92</v>
      </c>
      <c r="J6" s="48">
        <v>43435</v>
      </c>
      <c r="K6" s="88">
        <v>43466</v>
      </c>
      <c r="L6" s="35">
        <v>43497</v>
      </c>
      <c r="M6" s="35">
        <v>43525</v>
      </c>
      <c r="N6" s="48">
        <v>43556</v>
      </c>
      <c r="O6" s="48">
        <v>43586</v>
      </c>
      <c r="P6" s="48">
        <v>43617</v>
      </c>
      <c r="Q6" s="32" t="s">
        <v>1</v>
      </c>
    </row>
    <row r="7" spans="2:17" ht="17.25" x14ac:dyDescent="0.25">
      <c r="B7" s="40" t="s">
        <v>21</v>
      </c>
      <c r="C7" s="36" t="s">
        <v>104</v>
      </c>
      <c r="D7" s="31">
        <f>SUM(E7:P7)</f>
        <v>23437.183000000005</v>
      </c>
      <c r="E7" s="124">
        <v>1403.194</v>
      </c>
      <c r="F7" s="124">
        <v>1420.9569999999999</v>
      </c>
      <c r="G7" s="124">
        <v>1404.6399999999999</v>
      </c>
      <c r="H7" s="124">
        <v>1605.8989999999999</v>
      </c>
      <c r="I7" s="124">
        <v>2453.636</v>
      </c>
      <c r="J7" s="124">
        <v>3170.0909999999999</v>
      </c>
      <c r="K7" s="125">
        <v>2986.8879999999999</v>
      </c>
      <c r="L7" s="124">
        <v>2458.1459999999997</v>
      </c>
      <c r="M7" s="124">
        <v>2575.8110000000001</v>
      </c>
      <c r="N7" s="124">
        <v>1449.65</v>
      </c>
      <c r="O7" s="124">
        <v>1443.576</v>
      </c>
      <c r="P7" s="124">
        <v>1064.6949999999999</v>
      </c>
      <c r="Q7" s="41">
        <f>SUM(E7:P7)</f>
        <v>23437.183000000005</v>
      </c>
    </row>
    <row r="8" spans="2:17" x14ac:dyDescent="0.25">
      <c r="B8" s="40" t="s">
        <v>101</v>
      </c>
      <c r="C8" s="72" t="s">
        <v>103</v>
      </c>
      <c r="D8" s="74">
        <f>IF(D7=0,0,SUMPRODUCT(E7:P7,E8:P8)/D7)</f>
        <v>8273.0630819412036</v>
      </c>
      <c r="E8" s="124">
        <v>8323</v>
      </c>
      <c r="F8" s="124">
        <v>8276</v>
      </c>
      <c r="G8" s="124">
        <v>8276</v>
      </c>
      <c r="H8" s="124">
        <v>8212</v>
      </c>
      <c r="I8" s="124">
        <v>8295</v>
      </c>
      <c r="J8" s="124">
        <v>8311</v>
      </c>
      <c r="K8" s="124">
        <v>8231</v>
      </c>
      <c r="L8" s="124">
        <v>8259</v>
      </c>
      <c r="M8" s="124">
        <v>8234</v>
      </c>
      <c r="N8" s="124">
        <v>8260</v>
      </c>
      <c r="O8" s="124">
        <v>8298</v>
      </c>
      <c r="P8" s="124">
        <v>8357</v>
      </c>
      <c r="Q8" s="68">
        <f>IF(D7=0,0,SUMPRODUCT(E7:P7,E8:P8)/D7)</f>
        <v>8273.0630819412036</v>
      </c>
    </row>
    <row r="9" spans="2:17" x14ac:dyDescent="0.25">
      <c r="B9" s="40" t="s">
        <v>102</v>
      </c>
      <c r="C9" s="72" t="s">
        <v>103</v>
      </c>
      <c r="D9" s="74">
        <f>IF(D7=0,0,SUMPRODUCT(E7:P7,E9:P9)/D7)</f>
        <v>9080.9200217261587</v>
      </c>
      <c r="E9" s="73">
        <f>E10*860</f>
        <v>9064.4</v>
      </c>
      <c r="F9" s="73">
        <f t="shared" ref="F9:P9" si="0">F10*860</f>
        <v>9064.4</v>
      </c>
      <c r="G9" s="73">
        <f t="shared" si="0"/>
        <v>9064.4</v>
      </c>
      <c r="H9" s="73">
        <f t="shared" si="0"/>
        <v>9101.380000000001</v>
      </c>
      <c r="I9" s="73">
        <f t="shared" si="0"/>
        <v>9124.6</v>
      </c>
      <c r="J9" s="73">
        <f t="shared" si="0"/>
        <v>9085.9</v>
      </c>
      <c r="K9" s="73">
        <f t="shared" si="0"/>
        <v>9084.18</v>
      </c>
      <c r="L9" s="73">
        <f t="shared" si="0"/>
        <v>9085.9</v>
      </c>
      <c r="M9" s="73">
        <f t="shared" si="0"/>
        <v>9064.4</v>
      </c>
      <c r="N9" s="73">
        <f t="shared" si="0"/>
        <v>9064.4</v>
      </c>
      <c r="O9" s="73">
        <f t="shared" si="0"/>
        <v>9064.4</v>
      </c>
      <c r="P9" s="73">
        <f t="shared" si="0"/>
        <v>9064.4</v>
      </c>
      <c r="Q9" s="68">
        <f>IF(D7=0,0,SUMPRODUCT(E7:P7,E9:P9)/D7)</f>
        <v>9080.9200217261587</v>
      </c>
    </row>
    <row r="10" spans="2:17" ht="17.25" x14ac:dyDescent="0.25">
      <c r="B10" s="40" t="s">
        <v>120</v>
      </c>
      <c r="C10" s="81" t="s">
        <v>111</v>
      </c>
      <c r="D10" s="82">
        <f>IF(D7=0,0,SUMPRODUCT(E7:P7,E10:P10)/D7)</f>
        <v>10.559209327588555</v>
      </c>
      <c r="E10" s="43">
        <v>10.54</v>
      </c>
      <c r="F10" s="43">
        <v>10.54</v>
      </c>
      <c r="G10" s="43">
        <v>10.54</v>
      </c>
      <c r="H10" s="43">
        <v>10.583</v>
      </c>
      <c r="I10" s="43">
        <v>10.61</v>
      </c>
      <c r="J10" s="43">
        <v>10.565</v>
      </c>
      <c r="K10" s="43">
        <v>10.563000000000001</v>
      </c>
      <c r="L10" s="43">
        <v>10.565</v>
      </c>
      <c r="M10" s="43">
        <v>10.54</v>
      </c>
      <c r="N10" s="43">
        <v>10.54</v>
      </c>
      <c r="O10" s="43">
        <v>10.54</v>
      </c>
      <c r="P10" s="43">
        <v>10.54</v>
      </c>
      <c r="Q10" s="40">
        <f>IF(D7=0,0,SUMPRODUCT(E7:P7,E10:P10)/D7)</f>
        <v>10.559209327588555</v>
      </c>
    </row>
    <row r="11" spans="2:17" x14ac:dyDescent="0.25">
      <c r="B11" s="40" t="s">
        <v>21</v>
      </c>
      <c r="C11" s="36" t="s">
        <v>23</v>
      </c>
      <c r="D11" s="33">
        <f>SUM(E11:P11)</f>
        <v>247478.12134599997</v>
      </c>
      <c r="E11" s="42">
        <f>E7*E10</f>
        <v>14789.664759999998</v>
      </c>
      <c r="F11" s="42">
        <f t="shared" ref="F11:P11" si="1">F7*F10</f>
        <v>14976.886779999997</v>
      </c>
      <c r="G11" s="42">
        <f t="shared" si="1"/>
        <v>14804.905599999998</v>
      </c>
      <c r="H11" s="42">
        <f t="shared" si="1"/>
        <v>16995.229116999999</v>
      </c>
      <c r="I11" s="42">
        <f t="shared" si="1"/>
        <v>26033.077959999999</v>
      </c>
      <c r="J11" s="42">
        <f t="shared" si="1"/>
        <v>33492.011415000001</v>
      </c>
      <c r="K11" s="42">
        <f t="shared" si="1"/>
        <v>31550.497944000002</v>
      </c>
      <c r="L11" s="42">
        <f t="shared" si="1"/>
        <v>25970.312489999997</v>
      </c>
      <c r="M11" s="42">
        <f t="shared" si="1"/>
        <v>27149.04794</v>
      </c>
      <c r="N11" s="42">
        <f t="shared" si="1"/>
        <v>15279.311</v>
      </c>
      <c r="O11" s="42">
        <f t="shared" si="1"/>
        <v>15215.291039999998</v>
      </c>
      <c r="P11" s="42">
        <f t="shared" si="1"/>
        <v>11221.885299999998</v>
      </c>
      <c r="Q11" s="42">
        <f>SUM(E11:P11)</f>
        <v>247478.12134599997</v>
      </c>
    </row>
    <row r="12" spans="2:17" x14ac:dyDescent="0.25">
      <c r="B12" s="86" t="s">
        <v>24</v>
      </c>
      <c r="C12" s="36" t="s">
        <v>25</v>
      </c>
      <c r="D12" s="1">
        <f>SUM(E12:P12)</f>
        <v>365</v>
      </c>
      <c r="E12" s="43">
        <v>31</v>
      </c>
      <c r="F12" s="43">
        <v>31</v>
      </c>
      <c r="G12" s="43">
        <v>30</v>
      </c>
      <c r="H12" s="43">
        <v>31</v>
      </c>
      <c r="I12" s="43">
        <v>30</v>
      </c>
      <c r="J12" s="43">
        <v>31</v>
      </c>
      <c r="K12" s="43">
        <v>31</v>
      </c>
      <c r="L12" s="43">
        <v>28</v>
      </c>
      <c r="M12" s="43">
        <v>31</v>
      </c>
      <c r="N12" s="43">
        <v>30</v>
      </c>
      <c r="O12" s="43">
        <v>31</v>
      </c>
      <c r="P12" s="43">
        <v>30</v>
      </c>
      <c r="Q12" s="40">
        <f>SUM(E12:P12)</f>
        <v>365</v>
      </c>
    </row>
    <row r="13" spans="2:17" ht="30" x14ac:dyDescent="0.25">
      <c r="B13" s="2" t="s">
        <v>26</v>
      </c>
      <c r="C13" s="37" t="s">
        <v>31</v>
      </c>
      <c r="D13" s="34"/>
      <c r="E13" s="43">
        <v>514.83699999999999</v>
      </c>
      <c r="F13" s="43">
        <v>514.83699999999999</v>
      </c>
      <c r="G13" s="43">
        <v>514.83699999999999</v>
      </c>
      <c r="H13" s="43">
        <v>514.83699999999999</v>
      </c>
      <c r="I13" s="43">
        <v>514.83699999999999</v>
      </c>
      <c r="J13" s="43">
        <v>514.83699999999999</v>
      </c>
      <c r="K13" s="43">
        <v>514.83699999999999</v>
      </c>
      <c r="L13" s="43">
        <v>514.83699999999999</v>
      </c>
      <c r="M13" s="43">
        <v>514.83699999999999</v>
      </c>
      <c r="N13" s="43">
        <v>514.83699999999999</v>
      </c>
      <c r="O13" s="43">
        <v>514.83699999999999</v>
      </c>
      <c r="P13" s="43">
        <v>514.83699999999999</v>
      </c>
      <c r="Q13" s="44"/>
    </row>
    <row r="14" spans="2:17" ht="30" x14ac:dyDescent="0.25">
      <c r="B14" s="2" t="s">
        <v>27</v>
      </c>
      <c r="C14" s="37" t="s">
        <v>31</v>
      </c>
      <c r="D14" s="34"/>
      <c r="E14" s="43">
        <v>0</v>
      </c>
      <c r="F14" s="43">
        <v>0</v>
      </c>
      <c r="G14" s="43">
        <v>0</v>
      </c>
      <c r="H14" s="45">
        <v>58.352000000000004</v>
      </c>
      <c r="I14" s="45">
        <v>58.352000000000004</v>
      </c>
      <c r="J14" s="45">
        <v>58.352000000000004</v>
      </c>
      <c r="K14" s="45">
        <v>350.09100000000001</v>
      </c>
      <c r="L14" s="45">
        <v>350.09100000000001</v>
      </c>
      <c r="M14" s="45">
        <v>350.09100000000001</v>
      </c>
      <c r="N14" s="45">
        <v>0</v>
      </c>
      <c r="O14" s="45">
        <v>0</v>
      </c>
      <c r="P14" s="45">
        <v>0</v>
      </c>
      <c r="Q14" s="44"/>
    </row>
    <row r="15" spans="2:17" ht="30" x14ac:dyDescent="0.25">
      <c r="B15" s="115" t="s">
        <v>28</v>
      </c>
      <c r="C15" s="114" t="s">
        <v>31</v>
      </c>
      <c r="D15" s="34"/>
      <c r="E15" s="43">
        <v>0</v>
      </c>
      <c r="F15" s="43">
        <v>0</v>
      </c>
      <c r="G15" s="43">
        <v>17.163</v>
      </c>
      <c r="H15" s="43">
        <v>0</v>
      </c>
      <c r="I15" s="43">
        <v>306.387</v>
      </c>
      <c r="J15" s="43">
        <v>473.65199999999999</v>
      </c>
      <c r="K15" s="43">
        <v>253.98699999999997</v>
      </c>
      <c r="L15" s="43">
        <v>145.87099999999998</v>
      </c>
      <c r="M15" s="43">
        <v>0</v>
      </c>
      <c r="N15" s="43">
        <v>31.348999999999997</v>
      </c>
      <c r="O15" s="43">
        <v>0</v>
      </c>
      <c r="P15" s="43">
        <v>17.163</v>
      </c>
      <c r="Q15" s="44"/>
    </row>
    <row r="16" spans="2:17" x14ac:dyDescent="0.25">
      <c r="B16" s="149" t="s">
        <v>107</v>
      </c>
      <c r="C16" s="114" t="s">
        <v>105</v>
      </c>
      <c r="D16" s="116" t="s">
        <v>108</v>
      </c>
      <c r="E16" s="119">
        <v>0</v>
      </c>
      <c r="F16" s="119">
        <v>0</v>
      </c>
      <c r="G16" s="119">
        <v>0</v>
      </c>
      <c r="H16" s="119">
        <v>17</v>
      </c>
      <c r="I16" s="119">
        <v>11</v>
      </c>
      <c r="J16" s="119">
        <v>10</v>
      </c>
      <c r="K16" s="119">
        <v>8</v>
      </c>
      <c r="L16" s="119">
        <v>10</v>
      </c>
      <c r="M16" s="119">
        <v>15</v>
      </c>
      <c r="N16" s="119">
        <v>20</v>
      </c>
      <c r="O16" s="119"/>
      <c r="P16" s="119">
        <v>0</v>
      </c>
      <c r="Q16" s="44"/>
    </row>
    <row r="17" spans="2:18" ht="14.1" customHeight="1" x14ac:dyDescent="0.25">
      <c r="B17" s="150"/>
      <c r="C17" s="114" t="s">
        <v>31</v>
      </c>
      <c r="D17" s="116"/>
      <c r="E17" s="120"/>
      <c r="F17" s="120"/>
      <c r="G17" s="120"/>
      <c r="H17" s="120">
        <v>306.387</v>
      </c>
      <c r="I17" s="120">
        <v>306.387</v>
      </c>
      <c r="J17" s="120">
        <f>J14+J15</f>
        <v>532.00400000000002</v>
      </c>
      <c r="K17" s="120">
        <v>353</v>
      </c>
      <c r="L17" s="120">
        <f>L14+L15</f>
        <v>495.96199999999999</v>
      </c>
      <c r="M17" s="120">
        <v>473.65199999999999</v>
      </c>
      <c r="N17" s="120">
        <v>306.387</v>
      </c>
      <c r="O17" s="120"/>
      <c r="P17" s="120"/>
      <c r="Q17" s="44"/>
    </row>
    <row r="18" spans="2:18" ht="18.600000000000001" customHeight="1" x14ac:dyDescent="0.25">
      <c r="B18" s="115" t="s">
        <v>93</v>
      </c>
      <c r="C18" s="114" t="s">
        <v>31</v>
      </c>
      <c r="D18" s="116"/>
      <c r="E18" s="121">
        <f>IF(E12=0,0,E11/E12-E13-E14-E15-E17*E16/E12)</f>
        <v>-37.751040000000046</v>
      </c>
      <c r="F18" s="121">
        <f t="shared" ref="F18:P18" si="2">IF(F12=0,0,F11/F12-F13-F14-F15-F17*F16/F12)</f>
        <v>-31.711620000000096</v>
      </c>
      <c r="G18" s="121">
        <f t="shared" si="2"/>
        <v>-38.503146666666723</v>
      </c>
      <c r="H18" s="121">
        <f t="shared" si="2"/>
        <v>-192.97448009677419</v>
      </c>
      <c r="I18" s="121">
        <f t="shared" si="2"/>
        <v>-124.14863466666672</v>
      </c>
      <c r="J18" s="121">
        <f t="shared" si="2"/>
        <v>-138.06772854838704</v>
      </c>
      <c r="K18" s="121">
        <f t="shared" si="2"/>
        <v>-192.25377599999987</v>
      </c>
      <c r="L18" s="121">
        <f t="shared" si="2"/>
        <v>-260.41712535714294</v>
      </c>
      <c r="M18" s="121">
        <f t="shared" si="2"/>
        <v>-218.33871161290318</v>
      </c>
      <c r="N18" s="121">
        <f t="shared" si="2"/>
        <v>-241.13363333333331</v>
      </c>
      <c r="O18" s="121">
        <f t="shared" si="2"/>
        <v>-24.021160000000066</v>
      </c>
      <c r="P18" s="121">
        <f t="shared" si="2"/>
        <v>-157.93715666666674</v>
      </c>
      <c r="Q18" s="44"/>
    </row>
    <row r="19" spans="2:18" ht="16.5" customHeight="1" x14ac:dyDescent="0.25">
      <c r="B19" s="115" t="s">
        <v>93</v>
      </c>
      <c r="C19" s="114" t="s">
        <v>94</v>
      </c>
      <c r="D19" s="34"/>
      <c r="E19" s="87">
        <f>IF(E11=0,0,E18/(E11/E12))</f>
        <v>-7.9128381811948631E-2</v>
      </c>
      <c r="F19" s="87">
        <f t="shared" ref="F19:P19" si="3">IF(F11=0,0,F18/(F11/F12))</f>
        <v>-6.5638489122637492E-2</v>
      </c>
      <c r="G19" s="87">
        <f t="shared" si="3"/>
        <v>-7.8021058101174379E-2</v>
      </c>
      <c r="H19" s="87">
        <f t="shared" si="3"/>
        <v>-0.35199342367300668</v>
      </c>
      <c r="I19" s="87">
        <f t="shared" si="3"/>
        <v>-0.14306641134493042</v>
      </c>
      <c r="J19" s="87">
        <f t="shared" si="3"/>
        <v>-0.12779464129416482</v>
      </c>
      <c r="K19" s="87">
        <f t="shared" si="3"/>
        <v>-0.18889930252696349</v>
      </c>
      <c r="L19" s="87">
        <f t="shared" si="3"/>
        <v>-0.28076980255080491</v>
      </c>
      <c r="M19" s="87">
        <f t="shared" si="3"/>
        <v>-0.24930892880511074</v>
      </c>
      <c r="N19" s="87">
        <f t="shared" si="3"/>
        <v>-0.47345125706257302</v>
      </c>
      <c r="O19" s="87">
        <f t="shared" si="3"/>
        <v>-4.8941289262384176E-2</v>
      </c>
      <c r="P19" s="87">
        <f t="shared" si="3"/>
        <v>-0.42222091683649654</v>
      </c>
      <c r="Q19" s="44"/>
    </row>
    <row r="20" spans="2:18" ht="27" customHeight="1" x14ac:dyDescent="0.25">
      <c r="B20" s="115" t="s">
        <v>32</v>
      </c>
      <c r="C20" s="114" t="s">
        <v>38</v>
      </c>
      <c r="D20" s="66">
        <f>SUM(E20:P20)</f>
        <v>281760.50819700008</v>
      </c>
      <c r="E20" s="64">
        <f>E13*(Sheet1!$E$15+Sheet1!$E$23)*E12</f>
        <v>23930.344531800001</v>
      </c>
      <c r="F20" s="64">
        <f>F13*(Sheet1!$E$15+Sheet1!$E$23)*F12</f>
        <v>23930.344531800001</v>
      </c>
      <c r="G20" s="64">
        <f>G13*(Sheet1!$E$15+Sheet1!$E$23)*G12</f>
        <v>23158.397934000001</v>
      </c>
      <c r="H20" s="64">
        <f>H13*(Sheet1!$E$15+Sheet1!$E$23)*H12</f>
        <v>23930.344531800001</v>
      </c>
      <c r="I20" s="64">
        <f>I13*(Sheet1!$E$15+Sheet1!$E$23)*I12</f>
        <v>23158.397934000001</v>
      </c>
      <c r="J20" s="64">
        <f>J13*(Sheet1!$E$15+Sheet1!$E$23)*J12</f>
        <v>23930.344531800001</v>
      </c>
      <c r="K20" s="64">
        <f>K13*(Sheet1!$E$15+Sheet1!$E$23)*K12</f>
        <v>23930.344531800001</v>
      </c>
      <c r="L20" s="64">
        <f>L13*(Sheet1!$E$15+Sheet1!$E$23)*L12</f>
        <v>21614.504738400003</v>
      </c>
      <c r="M20" s="64">
        <f>M13*(Sheet1!$E$15+Sheet1!$E$23)*M12</f>
        <v>23930.344531800001</v>
      </c>
      <c r="N20" s="64">
        <f>N13*(Sheet1!$E$15+Sheet1!$E$23)*N12</f>
        <v>23158.397934000001</v>
      </c>
      <c r="O20" s="64">
        <f>O13*(Sheet1!$E$15+Sheet1!$E$23)*O12</f>
        <v>23930.344531800001</v>
      </c>
      <c r="P20" s="64">
        <f>P13*(Sheet1!$E$15+Sheet1!$E$23)*P12</f>
        <v>23158.397934000001</v>
      </c>
      <c r="Q20" s="64">
        <f>SUM(E20:P20)</f>
        <v>281760.50819700008</v>
      </c>
    </row>
    <row r="21" spans="2:18" ht="30" x14ac:dyDescent="0.25">
      <c r="B21" s="2" t="s">
        <v>33</v>
      </c>
      <c r="C21" s="37" t="s">
        <v>38</v>
      </c>
      <c r="D21" s="66">
        <f>SUM(E21:P21)</f>
        <v>99527.165831799997</v>
      </c>
      <c r="E21" s="64">
        <f>IF(E12=0,0,E14*(Sheet1!$F$33+Sheet1!$F$41)/(Sheet2!$G$5)*E12)</f>
        <v>0</v>
      </c>
      <c r="F21" s="64">
        <f>IF(F12=0,0,F14*(Sheet1!$F$33+Sheet1!$F$41)/(Sheet2!$G$5)*F12)</f>
        <v>0</v>
      </c>
      <c r="G21" s="64">
        <f>IF(G12=0,0,G14*(Sheet1!$F$33+Sheet1!$F$41)/(Sheet2!$G$5)*G12)</f>
        <v>0</v>
      </c>
      <c r="H21" s="64">
        <f>IF(H12=0,0,H14*(Sheet1!$C$33+Sheet1!$C$41)/(Sheet2!$J$5)*H12)</f>
        <v>4882.1197858086962</v>
      </c>
      <c r="I21" s="64">
        <f>IF(I12=0,0,I14*(Sheet1!$C$33+Sheet1!$C$41)/(Sheet2!$J$5)*I12)</f>
        <v>4724.6320507826094</v>
      </c>
      <c r="J21" s="64">
        <f>IF(J12=0,0,J14*(Sheet1!$C$33+Sheet1!$C$41)/(Sheet2!$J$5)*J12)</f>
        <v>4882.1197858086962</v>
      </c>
      <c r="K21" s="64">
        <f>IF(K12=0,0,K14*(Sheet1!$D$33+Sheet1!$D$41)/(Sheet2!$M$5)*K12)</f>
        <v>29290.968005459999</v>
      </c>
      <c r="L21" s="64">
        <f>IF(L12=0,0,L14*(Sheet1!$D$33+Sheet1!$D$41)/(Sheet2!$M$5)*L12)</f>
        <v>26456.35819848</v>
      </c>
      <c r="M21" s="64">
        <f>IF(M12=0,0,M14*(Sheet1!$D$33+Sheet1!$D$41)/(Sheet2!$M$5)*M12)</f>
        <v>29290.968005459999</v>
      </c>
      <c r="N21" s="64">
        <f>IF(N12=0,0,N14*(Sheet1!$E$33+Sheet1!$E$41)/(Sheet2!$P$5)*N12)</f>
        <v>0</v>
      </c>
      <c r="O21" s="64">
        <f>IF(O12=0,0,O14*(Sheet1!$E$33+Sheet1!$E$41)/(Sheet2!$P$5)*O12)</f>
        <v>0</v>
      </c>
      <c r="P21" s="64">
        <f>IF(P12=0,0,P14*(Sheet1!$E$33+Sheet1!$E$41)/(Sheet2!$P$5)*P12)</f>
        <v>0</v>
      </c>
      <c r="Q21" s="64">
        <f>SUM(E21:P21)</f>
        <v>99527.165831799997</v>
      </c>
    </row>
    <row r="22" spans="2:18" ht="27.95" customHeight="1" x14ac:dyDescent="0.25">
      <c r="B22" s="2" t="s">
        <v>34</v>
      </c>
      <c r="C22" s="37" t="s">
        <v>38</v>
      </c>
      <c r="D22" s="66">
        <f>SUM(E22:P22)</f>
        <v>110409.92979240001</v>
      </c>
      <c r="E22" s="64">
        <f>IF(E12=0,0,E15*(Sheet1!L52+Sheet1!L59)/E12*E12)</f>
        <v>0</v>
      </c>
      <c r="F22" s="64">
        <f>IF(F12=0,0,F15*(Sheet1!M52+Sheet1!M59)/F12*F12)</f>
        <v>0</v>
      </c>
      <c r="G22" s="64">
        <f>IF(G12=0,0,G15*(Sheet1!N52+Sheet1!N59)/G12*G12)</f>
        <v>772.02778230000001</v>
      </c>
      <c r="H22" s="64">
        <f>IF(H12=0,0,H15*(Sheet1!C52+Sheet1!C59)/H12*H12)</f>
        <v>0</v>
      </c>
      <c r="I22" s="64">
        <f>IF(I12=0,0,I15*(Sheet1!D52+Sheet1!D59)/I12*I12)</f>
        <v>27563.861345400001</v>
      </c>
      <c r="J22" s="64">
        <f>IF(J12=0,0,J15*(Sheet1!E52+Sheet1!E59)/J12*J12)</f>
        <v>44032.158241199999</v>
      </c>
      <c r="K22" s="64">
        <f>IF(K12=0,0,K15*(Sheet1!F52+Sheet1!F59)/K12*K12)</f>
        <v>23611.418879699995</v>
      </c>
      <c r="L22" s="64">
        <f>IF(L12=0,0,L15*(Sheet1!G52+Sheet1!G59)/L12*L12)</f>
        <v>12248.291908599998</v>
      </c>
      <c r="M22" s="64">
        <f>IF(M12=0,0,M15*(Sheet1!H52+Sheet1!H59)/M12*M12)</f>
        <v>0</v>
      </c>
      <c r="N22" s="64">
        <f>IF(N12=0,0,N15*(Sheet1!I52+Sheet1!I59)/N12*N12)</f>
        <v>1410.1438529</v>
      </c>
      <c r="O22" s="64">
        <f>IF(O12=0,0,O15*(Sheet1!J52+Sheet1!J59)/O12*O12)</f>
        <v>0</v>
      </c>
      <c r="P22" s="64">
        <f>IF(P12=0,0,P15*(Sheet1!K52+Sheet1!K59)/P12*P12)</f>
        <v>772.02778230000001</v>
      </c>
      <c r="Q22" s="64">
        <f>SUM(E22:P22)</f>
        <v>110409.92979240001</v>
      </c>
    </row>
    <row r="23" spans="2:18" ht="27.6" customHeight="1" x14ac:dyDescent="0.25">
      <c r="B23" s="115" t="s">
        <v>106</v>
      </c>
      <c r="C23" s="114" t="s">
        <v>38</v>
      </c>
      <c r="D23" s="66">
        <f>SUM(E23:P23)</f>
        <v>147866.79161520003</v>
      </c>
      <c r="E23" s="64">
        <f>E16*E17*(Sheet1!L88+Sheet1!L95)</f>
        <v>0</v>
      </c>
      <c r="F23" s="64">
        <f>F16*F17*(Sheet1!M88+Sheet1!M95)</f>
        <v>0</v>
      </c>
      <c r="G23" s="64">
        <f>G16*G17*(Sheet1!N88+Sheet1!N95)</f>
        <v>0</v>
      </c>
      <c r="H23" s="64">
        <f>H16*H17*(Sheet1!C88+Sheet1!C95)</f>
        <v>23429.230057800003</v>
      </c>
      <c r="I23" s="64">
        <f>I16*I17*(Sheet1!D88+Sheet1!D95)</f>
        <v>15160.090037400003</v>
      </c>
      <c r="J23" s="64">
        <f>J16*J17*(Sheet1!E88+Sheet1!E95)</f>
        <v>23930.603928000004</v>
      </c>
      <c r="K23" s="64">
        <f>K16*K17*(Sheet1!F88+Sheet1!F95)</f>
        <v>12702.916800000003</v>
      </c>
      <c r="L23" s="64">
        <f>L16*L17*(Sheet1!G88+Sheet1!G95)</f>
        <v>22309.362684000003</v>
      </c>
      <c r="M23" s="64">
        <f>M16*M17*(Sheet1!H88+Sheet1!H95)</f>
        <v>31958.721396000004</v>
      </c>
      <c r="N23" s="64">
        <f>N16*N17*(Sheet1!I88+Sheet1!I95)</f>
        <v>18375.866711999999</v>
      </c>
      <c r="O23" s="64">
        <f>O16*O17*(Sheet1!J88+Sheet1!J95)</f>
        <v>0</v>
      </c>
      <c r="P23" s="64">
        <f>P16*P17*(Sheet1!K88+Sheet1!K95)</f>
        <v>0</v>
      </c>
      <c r="Q23" s="64">
        <f>SUM(E23:P23)</f>
        <v>147866.79161520003</v>
      </c>
    </row>
    <row r="24" spans="2:18" x14ac:dyDescent="0.25">
      <c r="B24" s="2" t="s">
        <v>119</v>
      </c>
      <c r="C24" s="37" t="s">
        <v>38</v>
      </c>
      <c r="D24" s="75">
        <f>SUM(E24:P24)</f>
        <v>108073.6955917982</v>
      </c>
      <c r="E24" s="41">
        <f>E11*(Sheet1!$C$135*2+Sheet1!$C$136*2+Sheet1!$C$137)</f>
        <v>6458.6466006919991</v>
      </c>
      <c r="F24" s="41">
        <f>F11*(Sheet1!$C$135*2+Sheet1!$C$136*2+Sheet1!$C$137)</f>
        <v>6540.4064568259982</v>
      </c>
      <c r="G24" s="41">
        <f>G11*(Sheet1!$C$135*2+Sheet1!$C$136*2+Sheet1!$C$137)</f>
        <v>6465.3022755199991</v>
      </c>
      <c r="H24" s="41">
        <f>H11*(Sheet1!$C$135*2+Sheet1!$C$136*2+Sheet1!$C$137)</f>
        <v>7421.8165553938989</v>
      </c>
      <c r="I24" s="41">
        <f>I11*(Sheet1!$C$135*2+Sheet1!$C$136*2+Sheet1!$C$137)</f>
        <v>11368.645145131999</v>
      </c>
      <c r="J24" s="41">
        <f>J11*(Sheet1!$C$135*2+Sheet1!$C$136*2+Sheet1!$C$137)</f>
        <v>14625.961384930499</v>
      </c>
      <c r="K24" s="41">
        <f>K11*(Sheet1!$C$135*2+Sheet1!$C$136*2+Sheet1!$C$137)</f>
        <v>13778.1024521448</v>
      </c>
      <c r="L24" s="41">
        <f>L11*(Sheet1!$C$135*2+Sheet1!$C$136*2+Sheet1!$C$137)</f>
        <v>11341.235464382999</v>
      </c>
      <c r="M24" s="41">
        <f>M11*(Sheet1!$C$135*2+Sheet1!$C$136*2+Sheet1!$C$137)</f>
        <v>11855.989235397999</v>
      </c>
      <c r="N24" s="41">
        <f>N11*(Sheet1!$C$135*2+Sheet1!$C$136*2+Sheet1!$C$137)</f>
        <v>6672.4751136999994</v>
      </c>
      <c r="O24" s="41">
        <f>O11*(Sheet1!$C$135*2+Sheet1!$C$136*2+Sheet1!$C$137)</f>
        <v>6644.5175971679992</v>
      </c>
      <c r="P24" s="41">
        <f>P11*(Sheet1!$C$135*2+Sheet1!$C$136*2+Sheet1!$C$137)</f>
        <v>4900.5973105099993</v>
      </c>
      <c r="Q24" s="68">
        <f>SUM(E24:P24)</f>
        <v>108073.6955917982</v>
      </c>
      <c r="R24" s="70"/>
    </row>
    <row r="25" spans="2:18" ht="30" x14ac:dyDescent="0.25">
      <c r="B25" s="2" t="s">
        <v>35</v>
      </c>
      <c r="C25" s="38" t="s">
        <v>109</v>
      </c>
      <c r="D25" s="77">
        <f>IF(Q7=0,0,(Q20+Q21+Q22+Q23+Q24)/Q7)</f>
        <v>31.89965667069281</v>
      </c>
      <c r="E25" s="46">
        <f>IF(E7=0,0,(E20+E21+E22+E23+E24)/E7)</f>
        <v>21.657013308560327</v>
      </c>
      <c r="F25" s="46">
        <f t="shared" ref="F25:P25" si="4">IF(F7=0,0,(F20+F21+F22+F23+F24)/F7)</f>
        <v>21.443823415223687</v>
      </c>
      <c r="G25" s="46">
        <f t="shared" si="4"/>
        <v>21.639514745287052</v>
      </c>
      <c r="H25" s="46">
        <f t="shared" si="4"/>
        <v>37.152716908599231</v>
      </c>
      <c r="I25" s="46">
        <f t="shared" si="4"/>
        <v>33.409856438654558</v>
      </c>
      <c r="J25" s="46">
        <f t="shared" si="4"/>
        <v>35.141321770176063</v>
      </c>
      <c r="K25" s="46">
        <f t="shared" si="4"/>
        <v>34.589094291150126</v>
      </c>
      <c r="L25" s="46">
        <f t="shared" si="4"/>
        <v>38.227897364055273</v>
      </c>
      <c r="M25" s="46">
        <f t="shared" si="4"/>
        <v>37.672027632717622</v>
      </c>
      <c r="N25" s="46">
        <f t="shared" si="4"/>
        <v>34.226802064360356</v>
      </c>
      <c r="O25" s="46">
        <f t="shared" si="4"/>
        <v>21.179946278524998</v>
      </c>
      <c r="P25" s="46">
        <f t="shared" si="4"/>
        <v>27.079138182117884</v>
      </c>
      <c r="Q25" s="44"/>
    </row>
    <row r="26" spans="2:18" x14ac:dyDescent="0.25">
      <c r="B26" s="4" t="s">
        <v>29</v>
      </c>
      <c r="C26" s="39" t="s">
        <v>109</v>
      </c>
      <c r="D26" s="77">
        <f>IF(Q7=0,0,SUMPRODUCT(E7:P7,E26:P26)/Q7)</f>
        <v>352.64999999999986</v>
      </c>
      <c r="E26" s="43">
        <v>352.65</v>
      </c>
      <c r="F26" s="43">
        <v>352.65</v>
      </c>
      <c r="G26" s="43">
        <v>352.65</v>
      </c>
      <c r="H26" s="43">
        <v>352.65</v>
      </c>
      <c r="I26" s="43">
        <v>352.65</v>
      </c>
      <c r="J26" s="43">
        <v>352.65</v>
      </c>
      <c r="K26" s="43">
        <v>352.65</v>
      </c>
      <c r="L26" s="43">
        <v>352.65</v>
      </c>
      <c r="M26" s="43">
        <v>352.65</v>
      </c>
      <c r="N26" s="43">
        <v>352.65</v>
      </c>
      <c r="O26" s="43">
        <v>352.65</v>
      </c>
      <c r="P26" s="43">
        <v>352.65</v>
      </c>
      <c r="Q26" s="44"/>
    </row>
    <row r="27" spans="2:18" ht="30" x14ac:dyDescent="0.25">
      <c r="B27" s="2" t="s">
        <v>30</v>
      </c>
      <c r="C27" s="39" t="s">
        <v>109</v>
      </c>
      <c r="D27" s="78">
        <f>IF(Q7=0,0,SUMPRODUCT(E7:P7,E27:P27)/Q7)</f>
        <v>384.54965667069274</v>
      </c>
      <c r="E27" s="117">
        <f>E25+E26</f>
        <v>374.30701330856033</v>
      </c>
      <c r="F27" s="117">
        <f t="shared" ref="F27:P27" si="5">F25+F26</f>
        <v>374.09382341522365</v>
      </c>
      <c r="G27" s="117">
        <f t="shared" si="5"/>
        <v>374.28951474528702</v>
      </c>
      <c r="H27" s="117">
        <f t="shared" si="5"/>
        <v>389.80271690859922</v>
      </c>
      <c r="I27" s="117">
        <f t="shared" si="5"/>
        <v>386.05985643865455</v>
      </c>
      <c r="J27" s="117">
        <f t="shared" si="5"/>
        <v>387.79132177017607</v>
      </c>
      <c r="K27" s="118">
        <f t="shared" si="5"/>
        <v>387.23909429115008</v>
      </c>
      <c r="L27" s="117">
        <f t="shared" si="5"/>
        <v>390.87789736405523</v>
      </c>
      <c r="M27" s="117">
        <f t="shared" si="5"/>
        <v>390.32202763271761</v>
      </c>
      <c r="N27" s="117">
        <f t="shared" si="5"/>
        <v>386.87680206436033</v>
      </c>
      <c r="O27" s="117">
        <f t="shared" si="5"/>
        <v>373.82994627852497</v>
      </c>
      <c r="P27" s="117">
        <f t="shared" si="5"/>
        <v>379.72913818211788</v>
      </c>
      <c r="Q27" s="44"/>
    </row>
    <row r="28" spans="2:18" x14ac:dyDescent="0.25">
      <c r="H28" s="126"/>
      <c r="I28" s="126"/>
      <c r="J28" s="126"/>
      <c r="K28" s="126"/>
      <c r="L28" s="126"/>
      <c r="M28" s="126"/>
      <c r="N28" s="126"/>
    </row>
    <row r="29" spans="2:18" x14ac:dyDescent="0.25">
      <c r="B29" s="1" t="s">
        <v>0</v>
      </c>
      <c r="C29" s="39" t="s">
        <v>109</v>
      </c>
      <c r="D29" s="67">
        <f>IF(D7=0,0,D24/D7)</f>
        <v>4.6112067133579222</v>
      </c>
    </row>
    <row r="30" spans="2:18" x14ac:dyDescent="0.25">
      <c r="B30" s="1" t="s">
        <v>110</v>
      </c>
      <c r="C30" s="39" t="s">
        <v>109</v>
      </c>
      <c r="D30" s="67">
        <f>IF(Q7=0,0,(Q20+Q21+Q22+Q23)/Q7)</f>
        <v>27.288449957334887</v>
      </c>
      <c r="G30" s="113" t="s">
        <v>117</v>
      </c>
      <c r="H30">
        <f>(E13+F13+G13+E14+F14+G14+E15+F15+G15+E16*E17+F16*F17+G16*G17+N13+O13+P13+N14+O14+N15+O15+P15+N16*N17+O16*O17+P16*P17)/(H13+I13+J13+K13+L13+M13+H14+I14+J14+K14+L14+M14+H15+I15+J15+K15+L15+M15+H16*H17+I16*I17+J16*J17+K16*K17+L16*L17+M16*M17)</f>
        <v>0.27077083854265055</v>
      </c>
      <c r="I30" s="91" t="str">
        <f>IF(H30=0,"",IF(H30&lt;0.6," неравномерна доставка"," равномерна доставка"))</f>
        <v xml:space="preserve"> неравномерна доставка</v>
      </c>
    </row>
    <row r="31" spans="2:18" x14ac:dyDescent="0.25">
      <c r="D31" s="69"/>
      <c r="K31" s="70"/>
    </row>
    <row r="32" spans="2:18" x14ac:dyDescent="0.25">
      <c r="B32" s="5" t="s">
        <v>37</v>
      </c>
      <c r="C32" s="5"/>
      <c r="D32" s="5"/>
      <c r="E32" s="5"/>
      <c r="G32" s="6">
        <f>IF(Q7=0,0,SUMPRODUCT(E7:P7,E27:P27)/Q7)</f>
        <v>384.54965667069274</v>
      </c>
      <c r="H32" s="39" t="s">
        <v>109</v>
      </c>
    </row>
    <row r="36" spans="2:15" x14ac:dyDescent="0.25">
      <c r="B36" s="127" t="s">
        <v>125</v>
      </c>
      <c r="C36" s="128"/>
      <c r="D36" s="128"/>
      <c r="E36" s="128"/>
      <c r="F36" s="128"/>
      <c r="M36" s="129" t="s">
        <v>124</v>
      </c>
      <c r="N36" s="128"/>
      <c r="O36" s="130"/>
    </row>
    <row r="37" spans="2:15" x14ac:dyDescent="0.25">
      <c r="B37" s="128"/>
      <c r="C37" s="131" t="s">
        <v>127</v>
      </c>
      <c r="D37" s="128"/>
      <c r="E37" s="128"/>
      <c r="F37" s="128"/>
      <c r="M37" s="130"/>
      <c r="N37" s="132" t="s">
        <v>126</v>
      </c>
      <c r="O37" s="132"/>
    </row>
  </sheetData>
  <mergeCells count="1">
    <mergeCell ref="B16:B17"/>
  </mergeCells>
  <pageMargins left="0.7" right="0.7" top="0.75" bottom="0.45" header="0.3" footer="0.3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8"/>
  <sheetViews>
    <sheetView topLeftCell="A13" zoomScale="90" zoomScaleNormal="90" workbookViewId="0">
      <selection activeCell="E12" sqref="E12:P12"/>
    </sheetView>
  </sheetViews>
  <sheetFormatPr defaultRowHeight="15" x14ac:dyDescent="0.25"/>
  <cols>
    <col min="1" max="1" width="0.85546875" customWidth="1"/>
    <col min="2" max="2" width="27.140625" customWidth="1"/>
    <col min="3" max="3" width="10.28515625" bestFit="1" customWidth="1"/>
    <col min="4" max="4" width="9.85546875" bestFit="1" customWidth="1"/>
    <col min="5" max="5" width="9.42578125" customWidth="1"/>
    <col min="6" max="6" width="11.140625" bestFit="1" customWidth="1"/>
    <col min="7" max="7" width="11.5703125" customWidth="1"/>
    <col min="8" max="8" width="11.140625" bestFit="1" customWidth="1"/>
    <col min="9" max="9" width="9.7109375" customWidth="1"/>
    <col min="10" max="10" width="12.140625" bestFit="1" customWidth="1"/>
    <col min="11" max="11" width="10.5703125" customWidth="1"/>
    <col min="12" max="12" width="11.7109375" customWidth="1"/>
    <col min="13" max="13" width="9.5703125" customWidth="1"/>
    <col min="14" max="14" width="10.42578125" customWidth="1"/>
    <col min="15" max="15" width="9.42578125" customWidth="1"/>
    <col min="16" max="16" width="10.42578125" customWidth="1"/>
    <col min="17" max="17" width="11" bestFit="1" customWidth="1"/>
  </cols>
  <sheetData>
    <row r="1" spans="2:17" x14ac:dyDescent="0.25">
      <c r="G1" s="91" t="s">
        <v>55</v>
      </c>
      <c r="P1" t="s">
        <v>128</v>
      </c>
    </row>
    <row r="3" spans="2:17" x14ac:dyDescent="0.25">
      <c r="B3" t="s">
        <v>121</v>
      </c>
      <c r="I3" s="122" t="s">
        <v>123</v>
      </c>
      <c r="J3" s="122"/>
    </row>
    <row r="5" spans="2:17" x14ac:dyDescent="0.25">
      <c r="B5" s="79"/>
      <c r="C5" s="79"/>
      <c r="D5" s="79"/>
      <c r="E5" s="79"/>
      <c r="F5" s="79"/>
      <c r="G5" s="80">
        <f>E12+F12+G12</f>
        <v>0</v>
      </c>
      <c r="H5" s="79"/>
      <c r="I5" s="79"/>
      <c r="J5" s="80">
        <f>H12+I12+J12</f>
        <v>0</v>
      </c>
      <c r="K5" s="79"/>
      <c r="L5" s="79"/>
      <c r="M5" s="80">
        <f>K12+L12+M12</f>
        <v>0</v>
      </c>
      <c r="N5" s="79"/>
      <c r="O5" s="79"/>
      <c r="P5" s="80">
        <f>N12+O12+P12</f>
        <v>0</v>
      </c>
      <c r="Q5" s="79"/>
    </row>
    <row r="6" spans="2:17" x14ac:dyDescent="0.25">
      <c r="B6" s="3" t="s">
        <v>36</v>
      </c>
      <c r="C6" s="3" t="s">
        <v>22</v>
      </c>
      <c r="D6" s="83" t="s">
        <v>1</v>
      </c>
      <c r="E6" s="35">
        <v>43282</v>
      </c>
      <c r="F6" s="35">
        <v>43313</v>
      </c>
      <c r="G6" s="35">
        <v>43344</v>
      </c>
      <c r="H6" s="48">
        <v>43374</v>
      </c>
      <c r="I6" s="49" t="s">
        <v>92</v>
      </c>
      <c r="J6" s="48">
        <v>43435</v>
      </c>
      <c r="K6" s="88">
        <v>43466</v>
      </c>
      <c r="L6" s="35">
        <v>43497</v>
      </c>
      <c r="M6" s="35">
        <v>43525</v>
      </c>
      <c r="N6" s="48">
        <v>43556</v>
      </c>
      <c r="O6" s="48">
        <v>43586</v>
      </c>
      <c r="P6" s="48">
        <v>43617</v>
      </c>
      <c r="Q6" s="32" t="s">
        <v>1</v>
      </c>
    </row>
    <row r="7" spans="2:17" ht="17.25" x14ac:dyDescent="0.25">
      <c r="B7" s="40" t="s">
        <v>21</v>
      </c>
      <c r="C7" s="36" t="s">
        <v>104</v>
      </c>
      <c r="D7" s="123">
        <f>SUM(E7:P7)</f>
        <v>0</v>
      </c>
      <c r="E7" s="124"/>
      <c r="F7" s="124"/>
      <c r="G7" s="124"/>
      <c r="H7" s="124"/>
      <c r="I7" s="124"/>
      <c r="J7" s="124"/>
      <c r="K7" s="125"/>
      <c r="L7" s="124"/>
      <c r="M7" s="124"/>
      <c r="N7" s="124"/>
      <c r="O7" s="124"/>
      <c r="P7" s="124"/>
      <c r="Q7" s="68">
        <f>SUM(E7:P7)</f>
        <v>0</v>
      </c>
    </row>
    <row r="8" spans="2:17" x14ac:dyDescent="0.25">
      <c r="B8" s="40" t="s">
        <v>101</v>
      </c>
      <c r="C8" s="72" t="s">
        <v>103</v>
      </c>
      <c r="D8" s="74">
        <f>IF(D7=0,0,SUMPRODUCT(E7:P7,E8:P8)/D7)</f>
        <v>0</v>
      </c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68">
        <f>IF(D7=0,0,SUMPRODUCT(E7:P7,E8:P8)/D7)</f>
        <v>0</v>
      </c>
    </row>
    <row r="9" spans="2:17" x14ac:dyDescent="0.25">
      <c r="B9" s="40" t="s">
        <v>102</v>
      </c>
      <c r="C9" s="72" t="s">
        <v>103</v>
      </c>
      <c r="D9" s="74">
        <f>IF(D7=0,0,SUMPRODUCT(E7:P7,E9:P9)/D7)</f>
        <v>0</v>
      </c>
      <c r="E9" s="73">
        <f>E10*860</f>
        <v>0</v>
      </c>
      <c r="F9" s="73">
        <f t="shared" ref="F9:P9" si="0">F10*860</f>
        <v>0</v>
      </c>
      <c r="G9" s="73">
        <f t="shared" si="0"/>
        <v>0</v>
      </c>
      <c r="H9" s="73">
        <f t="shared" si="0"/>
        <v>0</v>
      </c>
      <c r="I9" s="73">
        <f t="shared" si="0"/>
        <v>0</v>
      </c>
      <c r="J9" s="73">
        <f t="shared" si="0"/>
        <v>0</v>
      </c>
      <c r="K9" s="73">
        <f t="shared" si="0"/>
        <v>0</v>
      </c>
      <c r="L9" s="73">
        <f t="shared" si="0"/>
        <v>0</v>
      </c>
      <c r="M9" s="73">
        <f t="shared" si="0"/>
        <v>0</v>
      </c>
      <c r="N9" s="73">
        <f t="shared" si="0"/>
        <v>0</v>
      </c>
      <c r="O9" s="73">
        <f t="shared" si="0"/>
        <v>0</v>
      </c>
      <c r="P9" s="73">
        <f t="shared" si="0"/>
        <v>0</v>
      </c>
      <c r="Q9" s="68">
        <f>IF(D7=0,0,SUMPRODUCT(E7:P7,E9:P9)/D7)</f>
        <v>0</v>
      </c>
    </row>
    <row r="10" spans="2:17" ht="17.25" x14ac:dyDescent="0.25">
      <c r="B10" s="40" t="s">
        <v>120</v>
      </c>
      <c r="C10" s="81" t="s">
        <v>111</v>
      </c>
      <c r="D10" s="82">
        <f>IF(D7=0,0,SUMPRODUCT(E7:P7,E10:P10)/D7)</f>
        <v>0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0">
        <f>IF(D7=0,0,SUMPRODUCT(E7:P7,E10:P10)/D7)</f>
        <v>0</v>
      </c>
    </row>
    <row r="11" spans="2:17" x14ac:dyDescent="0.25">
      <c r="B11" s="40" t="s">
        <v>21</v>
      </c>
      <c r="C11" s="36" t="s">
        <v>23</v>
      </c>
      <c r="D11" s="33">
        <f>SUM(E11:P11)</f>
        <v>0</v>
      </c>
      <c r="E11" s="68">
        <f>E7*E10</f>
        <v>0</v>
      </c>
      <c r="F11" s="68">
        <f t="shared" ref="F11:P11" si="1">F7*F10</f>
        <v>0</v>
      </c>
      <c r="G11" s="68">
        <f t="shared" si="1"/>
        <v>0</v>
      </c>
      <c r="H11" s="68">
        <f t="shared" si="1"/>
        <v>0</v>
      </c>
      <c r="I11" s="68">
        <f t="shared" si="1"/>
        <v>0</v>
      </c>
      <c r="J11" s="68">
        <f t="shared" si="1"/>
        <v>0</v>
      </c>
      <c r="K11" s="68">
        <f t="shared" si="1"/>
        <v>0</v>
      </c>
      <c r="L11" s="68">
        <f t="shared" si="1"/>
        <v>0</v>
      </c>
      <c r="M11" s="68">
        <f t="shared" si="1"/>
        <v>0</v>
      </c>
      <c r="N11" s="68">
        <f t="shared" si="1"/>
        <v>0</v>
      </c>
      <c r="O11" s="68">
        <f t="shared" si="1"/>
        <v>0</v>
      </c>
      <c r="P11" s="68">
        <f t="shared" si="1"/>
        <v>0</v>
      </c>
      <c r="Q11" s="42">
        <f>SUM(E11:P11)</f>
        <v>0</v>
      </c>
    </row>
    <row r="12" spans="2:17" x14ac:dyDescent="0.25">
      <c r="B12" s="86" t="s">
        <v>24</v>
      </c>
      <c r="C12" s="36" t="s">
        <v>25</v>
      </c>
      <c r="D12" s="1">
        <f>SUM(E12:P12)</f>
        <v>0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0">
        <f>SUM(E12:P12)</f>
        <v>0</v>
      </c>
    </row>
    <row r="13" spans="2:17" ht="30" x14ac:dyDescent="0.25">
      <c r="B13" s="2" t="s">
        <v>26</v>
      </c>
      <c r="C13" s="37" t="s">
        <v>31</v>
      </c>
      <c r="D13" s="34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4"/>
    </row>
    <row r="14" spans="2:17" ht="30" x14ac:dyDescent="0.25">
      <c r="B14" s="2" t="s">
        <v>27</v>
      </c>
      <c r="C14" s="37" t="s">
        <v>31</v>
      </c>
      <c r="D14" s="34"/>
      <c r="E14" s="43"/>
      <c r="F14" s="43"/>
      <c r="G14" s="43"/>
      <c r="H14" s="45"/>
      <c r="I14" s="45"/>
      <c r="J14" s="45"/>
      <c r="K14" s="45"/>
      <c r="L14" s="45"/>
      <c r="M14" s="45"/>
      <c r="N14" s="45"/>
      <c r="O14" s="45"/>
      <c r="P14" s="45"/>
      <c r="Q14" s="44"/>
    </row>
    <row r="15" spans="2:17" ht="30" x14ac:dyDescent="0.25">
      <c r="B15" s="2" t="s">
        <v>28</v>
      </c>
      <c r="C15" s="37" t="s">
        <v>31</v>
      </c>
      <c r="D15" s="34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4"/>
    </row>
    <row r="16" spans="2:17" ht="14.45" customHeight="1" x14ac:dyDescent="0.25">
      <c r="B16" s="149" t="s">
        <v>107</v>
      </c>
      <c r="C16" s="114" t="s">
        <v>105</v>
      </c>
      <c r="D16" s="116" t="s">
        <v>108</v>
      </c>
      <c r="E16" s="119">
        <v>0</v>
      </c>
      <c r="F16" s="119">
        <v>0</v>
      </c>
      <c r="G16" s="119">
        <v>0</v>
      </c>
      <c r="H16" s="119">
        <v>0</v>
      </c>
      <c r="I16" s="119">
        <v>0</v>
      </c>
      <c r="J16" s="119">
        <v>0</v>
      </c>
      <c r="K16" s="119">
        <v>0</v>
      </c>
      <c r="L16" s="119">
        <v>0</v>
      </c>
      <c r="M16" s="119">
        <v>0</v>
      </c>
      <c r="N16" s="119">
        <v>0</v>
      </c>
      <c r="O16" s="119">
        <v>0</v>
      </c>
      <c r="P16" s="119">
        <v>0</v>
      </c>
      <c r="Q16" s="44"/>
    </row>
    <row r="17" spans="2:17" x14ac:dyDescent="0.25">
      <c r="B17" s="150"/>
      <c r="C17" s="114" t="s">
        <v>31</v>
      </c>
      <c r="D17" s="34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44"/>
    </row>
    <row r="18" spans="2:17" ht="30" x14ac:dyDescent="0.25">
      <c r="B18" s="115" t="s">
        <v>93</v>
      </c>
      <c r="C18" s="114" t="s">
        <v>31</v>
      </c>
      <c r="D18" s="34"/>
      <c r="E18" s="121">
        <f>IF(E12=0,0,E11/E12-E13-E14-E15-E17*E16/E12)</f>
        <v>0</v>
      </c>
      <c r="F18" s="121">
        <f t="shared" ref="F18:P18" si="2">IF(F12=0,0,F11/F12-F13-F14-F15-F17*F16/F12)</f>
        <v>0</v>
      </c>
      <c r="G18" s="121">
        <f t="shared" si="2"/>
        <v>0</v>
      </c>
      <c r="H18" s="121">
        <f t="shared" si="2"/>
        <v>0</v>
      </c>
      <c r="I18" s="121">
        <f t="shared" si="2"/>
        <v>0</v>
      </c>
      <c r="J18" s="121">
        <f t="shared" si="2"/>
        <v>0</v>
      </c>
      <c r="K18" s="121">
        <f t="shared" si="2"/>
        <v>0</v>
      </c>
      <c r="L18" s="121">
        <f t="shared" si="2"/>
        <v>0</v>
      </c>
      <c r="M18" s="121">
        <f t="shared" si="2"/>
        <v>0</v>
      </c>
      <c r="N18" s="121">
        <f t="shared" si="2"/>
        <v>0</v>
      </c>
      <c r="O18" s="121">
        <f t="shared" si="2"/>
        <v>0</v>
      </c>
      <c r="P18" s="121">
        <f t="shared" si="2"/>
        <v>0</v>
      </c>
      <c r="Q18" s="44"/>
    </row>
    <row r="19" spans="2:17" ht="30" x14ac:dyDescent="0.25">
      <c r="B19" s="115" t="s">
        <v>93</v>
      </c>
      <c r="C19" s="114" t="s">
        <v>94</v>
      </c>
      <c r="D19" s="34"/>
      <c r="E19" s="87">
        <f>IF(E11=0,0,E18/(E11/E12))</f>
        <v>0</v>
      </c>
      <c r="F19" s="87">
        <f t="shared" ref="F19:P19" si="3">IF(F11=0,0,F18/(F11/F12))</f>
        <v>0</v>
      </c>
      <c r="G19" s="87">
        <f t="shared" si="3"/>
        <v>0</v>
      </c>
      <c r="H19" s="87">
        <f t="shared" si="3"/>
        <v>0</v>
      </c>
      <c r="I19" s="87">
        <f t="shared" si="3"/>
        <v>0</v>
      </c>
      <c r="J19" s="87">
        <f t="shared" si="3"/>
        <v>0</v>
      </c>
      <c r="K19" s="87">
        <f t="shared" si="3"/>
        <v>0</v>
      </c>
      <c r="L19" s="87">
        <f t="shared" si="3"/>
        <v>0</v>
      </c>
      <c r="M19" s="87">
        <f t="shared" si="3"/>
        <v>0</v>
      </c>
      <c r="N19" s="87">
        <f t="shared" si="3"/>
        <v>0</v>
      </c>
      <c r="O19" s="87">
        <f t="shared" si="3"/>
        <v>0</v>
      </c>
      <c r="P19" s="87">
        <f t="shared" si="3"/>
        <v>0</v>
      </c>
      <c r="Q19" s="44"/>
    </row>
    <row r="20" spans="2:17" ht="30" x14ac:dyDescent="0.25">
      <c r="B20" s="2" t="s">
        <v>32</v>
      </c>
      <c r="C20" s="37" t="s">
        <v>38</v>
      </c>
      <c r="D20" s="66">
        <f>SUM(E20:P20)</f>
        <v>0</v>
      </c>
      <c r="E20" s="64">
        <f>E13*(Sheet1!$F$15+Sheet1!$F$23)*E12</f>
        <v>0</v>
      </c>
      <c r="F20" s="64">
        <f>F13*(Sheet1!$F$15+Sheet1!$F$23)*F12</f>
        <v>0</v>
      </c>
      <c r="G20" s="64">
        <f>G13*(Sheet1!$F$15+Sheet1!$F$23)*G12</f>
        <v>0</v>
      </c>
      <c r="H20" s="64">
        <f>H13*(Sheet1!$F$15+Sheet1!$F$23)*H12</f>
        <v>0</v>
      </c>
      <c r="I20" s="64">
        <f>I13*(Sheet1!$F$15+Sheet1!$F$23)*I12</f>
        <v>0</v>
      </c>
      <c r="J20" s="64">
        <f>J13*(Sheet1!$F$15+Sheet1!$F$23)*J12</f>
        <v>0</v>
      </c>
      <c r="K20" s="64">
        <f>K13*(Sheet1!$F$15+Sheet1!$F$23)*K12</f>
        <v>0</v>
      </c>
      <c r="L20" s="64">
        <f>L13*(Sheet1!$F$15+Sheet1!$F$23)*L12</f>
        <v>0</v>
      </c>
      <c r="M20" s="64">
        <f>M13*(Sheet1!$F$15+Sheet1!$F$23)*M12</f>
        <v>0</v>
      </c>
      <c r="N20" s="64">
        <f>N13*(Sheet1!$F$15+Sheet1!$F$23)*N12</f>
        <v>0</v>
      </c>
      <c r="O20" s="64">
        <f>O13*(Sheet1!$F$15+Sheet1!$F$23)*O12</f>
        <v>0</v>
      </c>
      <c r="P20" s="64">
        <f>P13*(Sheet1!$F$15+Sheet1!$F$23)*P12</f>
        <v>0</v>
      </c>
      <c r="Q20" s="64">
        <f>SUM(E20:P20)</f>
        <v>0</v>
      </c>
    </row>
    <row r="21" spans="2:17" ht="30" x14ac:dyDescent="0.25">
      <c r="B21" s="2" t="s">
        <v>33</v>
      </c>
      <c r="C21" s="37" t="s">
        <v>38</v>
      </c>
      <c r="D21" s="66">
        <f>SUM(E21:P21)</f>
        <v>0</v>
      </c>
      <c r="E21" s="64">
        <f>IF(E12=0,0,E14*(Sheet1!$G$33+Sheet1!$G$41)/(Sheet3!$G$5)*E12)</f>
        <v>0</v>
      </c>
      <c r="F21" s="64">
        <f>IF(F12=0,0,F14*(Sheet1!$G$33+Sheet1!$G$41)/(Sheet3!$G$5)*F12)</f>
        <v>0</v>
      </c>
      <c r="G21" s="64">
        <f>IF(G12=0,0,G14*(Sheet1!$G$33+Sheet1!$G$41)/(Sheet3!$G$5)*G12)</f>
        <v>0</v>
      </c>
      <c r="H21" s="64">
        <f>IF(H12=0,0,H14*(Sheet1!$H$33+Sheet1!$H$41)/(Sheet3!$J$5)*H12)</f>
        <v>0</v>
      </c>
      <c r="I21" s="64">
        <f>IF(I12=0,0,I14*(Sheet1!$H$33+Sheet1!$H$41)/(Sheet3!$J$5)*I12)</f>
        <v>0</v>
      </c>
      <c r="J21" s="64">
        <f>IF(J12=0,0,J14*(Sheet1!$H$33+Sheet1!$H$41)/(Sheet3!$J$5)*J12)</f>
        <v>0</v>
      </c>
      <c r="K21" s="64">
        <f>IF(K12=0,0,K14*(Sheet1!$I$33+Sheet1!$I$41)/(Sheet3!$M$5)*K12)</f>
        <v>0</v>
      </c>
      <c r="L21" s="64">
        <f>IF(L12=0,0,L14*(Sheet1!$I$33+Sheet1!$I$41)/(Sheet3!$M$5)*L12)</f>
        <v>0</v>
      </c>
      <c r="M21" s="64">
        <f>IF(M12=0,0,M14*(Sheet1!$I$33+Sheet1!$I$41)/(Sheet3!$M$5)*M12)</f>
        <v>0</v>
      </c>
      <c r="N21" s="64">
        <f>IF(N12=0,0,N14*(Sheet1!$J$33+Sheet1!$J$41)/(Sheet3!$P$5)*N12)</f>
        <v>0</v>
      </c>
      <c r="O21" s="64">
        <f>IF(O12=0,0,O14*(Sheet1!$J$33+Sheet1!$J$41)/(Sheet3!$P$5)*O12)</f>
        <v>0</v>
      </c>
      <c r="P21" s="64">
        <f>IF(P12=0,0,P14*(Sheet1!$J$33+Sheet1!$J$41)/(Sheet3!$P$5)*P12)</f>
        <v>0</v>
      </c>
      <c r="Q21" s="64">
        <f>SUM(E21:P21)</f>
        <v>0</v>
      </c>
    </row>
    <row r="22" spans="2:17" ht="30" x14ac:dyDescent="0.25">
      <c r="B22" s="2" t="s">
        <v>34</v>
      </c>
      <c r="C22" s="37" t="s">
        <v>38</v>
      </c>
      <c r="D22" s="66">
        <f>SUM(E22:P22)</f>
        <v>0</v>
      </c>
      <c r="E22" s="64">
        <f>IF(E12=0,0,E15*(Sheet1!C69+Sheet1!C77)/E12*E12)</f>
        <v>0</v>
      </c>
      <c r="F22" s="64">
        <f>IF(F12=0,0,F15*(Sheet1!D69+Sheet1!D77)/F12*F12)</f>
        <v>0</v>
      </c>
      <c r="G22" s="64">
        <f>IF(G12=0,0,G15*(Sheet1!E69+Sheet1!E77)/G12*G12)</f>
        <v>0</v>
      </c>
      <c r="H22" s="64">
        <f>IF(H12=0,0,H15*(Sheet1!F69+Sheet1!F77)/H12*H12)</f>
        <v>0</v>
      </c>
      <c r="I22" s="64">
        <f>IF(I12=0,0,I15*(Sheet1!G69+Sheet1!G77)/I12*I12)</f>
        <v>0</v>
      </c>
      <c r="J22" s="64">
        <f>IF(J12=0,0,J15*(Sheet1!H69+Sheet1!H77)/J12*J12)</f>
        <v>0</v>
      </c>
      <c r="K22" s="64">
        <f>IF(K12=0,0,K15*(Sheet1!I69+Sheet1!I77)/K12*K12)</f>
        <v>0</v>
      </c>
      <c r="L22" s="64">
        <f>IF(L12=0,0,L15*(Sheet1!J69+Sheet1!J77)/L12*L12)</f>
        <v>0</v>
      </c>
      <c r="M22" s="64">
        <f>IF(M12=0,0,M15*(Sheet1!K69+Sheet1!K77)/M12*M12)</f>
        <v>0</v>
      </c>
      <c r="N22" s="64">
        <f>IF(N12=0,0,N15*(Sheet1!L69+Sheet1!L77)/N12*N12)</f>
        <v>0</v>
      </c>
      <c r="O22" s="64">
        <f>IF(O12=0,0,O15*(Sheet1!M69+Sheet1!M77)/O12*O12)</f>
        <v>0</v>
      </c>
      <c r="P22" s="64">
        <f>IF(P12=0,0,P15*(Sheet1!N69+Sheet1!N77)/P12*P12)</f>
        <v>0</v>
      </c>
      <c r="Q22" s="64">
        <f>SUM(E22:P22)</f>
        <v>0</v>
      </c>
    </row>
    <row r="23" spans="2:17" ht="30" x14ac:dyDescent="0.25">
      <c r="B23" s="115" t="s">
        <v>106</v>
      </c>
      <c r="C23" s="114" t="s">
        <v>38</v>
      </c>
      <c r="D23" s="66">
        <f>SUM(E23:P23)</f>
        <v>0</v>
      </c>
      <c r="E23" s="64">
        <f>E16*E17*(Sheet1!C105+Sheet1!C113)</f>
        <v>0</v>
      </c>
      <c r="F23" s="64">
        <f>F16*F17*(Sheet1!D105+Sheet1!D113)</f>
        <v>0</v>
      </c>
      <c r="G23" s="64">
        <f>G16*G17*(Sheet1!E105+Sheet1!E113)</f>
        <v>0</v>
      </c>
      <c r="H23" s="64">
        <f>H16*H17*(Sheet1!F105+Sheet1!F113)</f>
        <v>0</v>
      </c>
      <c r="I23" s="64">
        <f>I16*I17*(Sheet1!G105+Sheet1!G113)</f>
        <v>0</v>
      </c>
      <c r="J23" s="64">
        <f>J16*J17*(Sheet1!H105+Sheet1!H113)</f>
        <v>0</v>
      </c>
      <c r="K23" s="64">
        <f>K16*K17*(Sheet1!I105+Sheet1!I113)</f>
        <v>0</v>
      </c>
      <c r="L23" s="64">
        <f>L16*L17*(Sheet1!J105+Sheet1!J113)</f>
        <v>0</v>
      </c>
      <c r="M23" s="64">
        <f>M16*M17*(Sheet1!K105+Sheet1!K113)</f>
        <v>0</v>
      </c>
      <c r="N23" s="64">
        <f>N16*N17*(Sheet1!L105+Sheet1!L113)</f>
        <v>0</v>
      </c>
      <c r="O23" s="64">
        <f>O16*O17*(Sheet1!M105+Sheet1!M113)</f>
        <v>0</v>
      </c>
      <c r="P23" s="64">
        <f>P16*P17*(Sheet1!N105+Sheet1!N113)</f>
        <v>0</v>
      </c>
      <c r="Q23" s="64">
        <f>SUM(E23:P23)</f>
        <v>0</v>
      </c>
    </row>
    <row r="24" spans="2:17" x14ac:dyDescent="0.25">
      <c r="B24" s="2" t="s">
        <v>119</v>
      </c>
      <c r="C24" s="37" t="s">
        <v>38</v>
      </c>
      <c r="D24" s="75">
        <f>SUM(E24:P24)</f>
        <v>0</v>
      </c>
      <c r="E24" s="41">
        <f>E11*(Sheet1!$C$135*2+Sheet1!$C$136*2+Sheet1!$C$137)</f>
        <v>0</v>
      </c>
      <c r="F24" s="41">
        <f>F11*(Sheet1!$C$135*2+Sheet1!$C$136*2+Sheet1!$C$137)</f>
        <v>0</v>
      </c>
      <c r="G24" s="41">
        <f>G11*(Sheet1!$C$135*2+Sheet1!$C$136*2+Sheet1!$C$137)</f>
        <v>0</v>
      </c>
      <c r="H24" s="41">
        <f>H11*(Sheet1!$C$135*2+Sheet1!$C$136*2+Sheet1!$C$137)</f>
        <v>0</v>
      </c>
      <c r="I24" s="41">
        <f>I11*(Sheet1!$C$135*2+Sheet1!$C$136*2+Sheet1!$C$137)</f>
        <v>0</v>
      </c>
      <c r="J24" s="41">
        <f>J11*(Sheet1!$C$135*2+Sheet1!$C$136*2+Sheet1!$C$137)</f>
        <v>0</v>
      </c>
      <c r="K24" s="41">
        <f>K11*(Sheet1!$C$135*2+Sheet1!$C$136*2+Sheet1!$C$137)</f>
        <v>0</v>
      </c>
      <c r="L24" s="41">
        <f>L11*(Sheet1!$C$135*2+Sheet1!$C$136*2+Sheet1!$C$137)</f>
        <v>0</v>
      </c>
      <c r="M24" s="41">
        <f>M11*(Sheet1!$C$135*2+Sheet1!$C$136*2+Sheet1!$C$137)</f>
        <v>0</v>
      </c>
      <c r="N24" s="41">
        <f>N11*(Sheet1!$C$135*2+Sheet1!$C$136*2+Sheet1!$C$137)</f>
        <v>0</v>
      </c>
      <c r="O24" s="41">
        <f>O11*(Sheet1!$C$135*2+Sheet1!$C$136*2+Sheet1!$C$137)</f>
        <v>0</v>
      </c>
      <c r="P24" s="41">
        <f>P11*(Sheet1!$C$135*2+Sheet1!$C$136*2+Sheet1!$C$137)</f>
        <v>0</v>
      </c>
      <c r="Q24" s="41">
        <f>SUM(E24:P24)</f>
        <v>0</v>
      </c>
    </row>
    <row r="25" spans="2:17" x14ac:dyDescent="0.25">
      <c r="B25" s="2" t="s">
        <v>35</v>
      </c>
      <c r="C25" s="38" t="s">
        <v>109</v>
      </c>
      <c r="D25" s="77">
        <f>IF(Q7=0,0,(Q20+Q21+Q22+Q23+Q24)/Q7)</f>
        <v>0</v>
      </c>
      <c r="E25" s="46">
        <f>IF(E7=0,0,(E20+E21+E22+E23+E24)/E7)</f>
        <v>0</v>
      </c>
      <c r="F25" s="46">
        <f t="shared" ref="F25:P25" si="4">IF(F7=0,0,(F20+F21+F22+F23+F24)/F7)</f>
        <v>0</v>
      </c>
      <c r="G25" s="46">
        <f t="shared" si="4"/>
        <v>0</v>
      </c>
      <c r="H25" s="46">
        <f t="shared" si="4"/>
        <v>0</v>
      </c>
      <c r="I25" s="46">
        <f t="shared" si="4"/>
        <v>0</v>
      </c>
      <c r="J25" s="46">
        <f t="shared" si="4"/>
        <v>0</v>
      </c>
      <c r="K25" s="46">
        <f t="shared" si="4"/>
        <v>0</v>
      </c>
      <c r="L25" s="46">
        <f t="shared" si="4"/>
        <v>0</v>
      </c>
      <c r="M25" s="46">
        <f t="shared" si="4"/>
        <v>0</v>
      </c>
      <c r="N25" s="46">
        <f t="shared" si="4"/>
        <v>0</v>
      </c>
      <c r="O25" s="46">
        <f t="shared" si="4"/>
        <v>0</v>
      </c>
      <c r="P25" s="46">
        <f t="shared" si="4"/>
        <v>0</v>
      </c>
      <c r="Q25" s="44"/>
    </row>
    <row r="26" spans="2:17" x14ac:dyDescent="0.25">
      <c r="B26" s="4" t="s">
        <v>29</v>
      </c>
      <c r="C26" s="39" t="s">
        <v>109</v>
      </c>
      <c r="D26" s="77">
        <f>IF(Q7=0,0,SUMPRODUCT(E7:P7,E26:P26)/Q7)</f>
        <v>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4"/>
    </row>
    <row r="27" spans="2:17" ht="30" x14ac:dyDescent="0.25">
      <c r="B27" s="2" t="s">
        <v>30</v>
      </c>
      <c r="C27" s="39" t="s">
        <v>109</v>
      </c>
      <c r="D27" s="78">
        <f>IF(Q7=0,0,SUMPRODUCT(E7:P7,E27:P27)/Q7)</f>
        <v>0</v>
      </c>
      <c r="E27" s="117">
        <f>E25+E26</f>
        <v>0</v>
      </c>
      <c r="F27" s="117">
        <f t="shared" ref="F27:P27" si="5">F25+F26</f>
        <v>0</v>
      </c>
      <c r="G27" s="117">
        <f t="shared" si="5"/>
        <v>0</v>
      </c>
      <c r="H27" s="117">
        <f t="shared" si="5"/>
        <v>0</v>
      </c>
      <c r="I27" s="117">
        <f t="shared" si="5"/>
        <v>0</v>
      </c>
      <c r="J27" s="117">
        <f t="shared" si="5"/>
        <v>0</v>
      </c>
      <c r="K27" s="118">
        <f t="shared" si="5"/>
        <v>0</v>
      </c>
      <c r="L27" s="117">
        <f t="shared" si="5"/>
        <v>0</v>
      </c>
      <c r="M27" s="117">
        <f t="shared" si="5"/>
        <v>0</v>
      </c>
      <c r="N27" s="117">
        <f t="shared" si="5"/>
        <v>0</v>
      </c>
      <c r="O27" s="117">
        <f t="shared" si="5"/>
        <v>0</v>
      </c>
      <c r="P27" s="117">
        <f t="shared" si="5"/>
        <v>0</v>
      </c>
      <c r="Q27" s="44"/>
    </row>
    <row r="29" spans="2:17" x14ac:dyDescent="0.25">
      <c r="B29" s="1" t="s">
        <v>0</v>
      </c>
      <c r="C29" s="39" t="s">
        <v>109</v>
      </c>
      <c r="D29" s="67">
        <f>IF(D7=0,0,D24/D7)</f>
        <v>0</v>
      </c>
    </row>
    <row r="30" spans="2:17" x14ac:dyDescent="0.25">
      <c r="B30" s="1" t="s">
        <v>110</v>
      </c>
      <c r="C30" s="39" t="s">
        <v>109</v>
      </c>
      <c r="D30" s="67">
        <f>IF(Q7=0,0,(Q20+Q21+Q22+Q23)/Q7)</f>
        <v>0</v>
      </c>
      <c r="G30" s="113" t="s">
        <v>117</v>
      </c>
      <c r="H30" t="e">
        <f>(E13+F13+G13+E14+F14+G14+E15+F15+G15+E16*E17+F16*F17+G16*G17+N13+O13+P13+N14+O14+N15+O15+P15+N16*N17+O16*O17+P16*P17)/(H13+I13+J13+K13+L13+M13+H14+I14+J14+K14+L14+M14+H15+I15+J15+K15+L15+M15+H16*H17+I16*I17+J16*J17+K16*K17+L16*L17+M16*M17)</f>
        <v>#DIV/0!</v>
      </c>
      <c r="I30" s="91" t="e">
        <f>IF(H30=0,"",IF(H30&lt;0.6," неравномерна доставка"," равномерна доставка"))</f>
        <v>#DIV/0!</v>
      </c>
    </row>
    <row r="31" spans="2:17" x14ac:dyDescent="0.25">
      <c r="D31" s="69"/>
      <c r="K31" s="70"/>
    </row>
    <row r="32" spans="2:17" x14ac:dyDescent="0.25">
      <c r="B32" s="5" t="s">
        <v>37</v>
      </c>
      <c r="C32" s="5"/>
      <c r="D32" s="5"/>
      <c r="E32" s="5"/>
      <c r="G32" s="6">
        <f>IF(Q7=0,0,SUMPRODUCT(E7:P7,E27:P27)/Q7)</f>
        <v>0</v>
      </c>
      <c r="H32" s="39" t="s">
        <v>109</v>
      </c>
    </row>
    <row r="37" spans="2:14" x14ac:dyDescent="0.25">
      <c r="B37" s="127" t="s">
        <v>125</v>
      </c>
      <c r="C37" s="128"/>
      <c r="D37" s="128"/>
      <c r="E37" s="128"/>
      <c r="F37" s="128"/>
      <c r="L37" s="129" t="s">
        <v>124</v>
      </c>
      <c r="M37" s="128"/>
      <c r="N37" s="130"/>
    </row>
    <row r="38" spans="2:14" x14ac:dyDescent="0.25">
      <c r="B38" s="128"/>
      <c r="C38" s="131" t="s">
        <v>127</v>
      </c>
      <c r="D38" s="128"/>
      <c r="E38" s="128"/>
      <c r="F38" s="128"/>
      <c r="L38" s="130"/>
      <c r="M38" s="132" t="s">
        <v>126</v>
      </c>
      <c r="N38" s="132"/>
    </row>
  </sheetData>
  <mergeCells count="1">
    <mergeCell ref="B16:B17"/>
  </mergeCells>
  <pageMargins left="0.7" right="0.7" top="0.75" bottom="0.56000000000000005" header="0.3" footer="0.3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Erdinai Mutratov</dc:creator>
  <cp:lastModifiedBy>Petko Petkov</cp:lastModifiedBy>
  <cp:lastPrinted>2018-03-29T12:03:55Z</cp:lastPrinted>
  <dcterms:created xsi:type="dcterms:W3CDTF">2017-10-02T11:00:10Z</dcterms:created>
  <dcterms:modified xsi:type="dcterms:W3CDTF">2018-03-30T07:24:25Z</dcterms:modified>
</cp:coreProperties>
</file>